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namedSheetViews/namedSheetView1.xml" ContentType="application/vnd.ms-excel.namedsheetviews+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tables/table9.xml" ContentType="application/vnd.openxmlformats-officedocument.spreadsheetml.table+xml"/>
  <Override PartName="/xl/drawings/drawing7.xml" ContentType="application/vnd.openxmlformats-officedocument.drawing+xml"/>
  <Override PartName="/xl/tables/table10.xml" ContentType="application/vnd.openxmlformats-officedocument.spreadsheetml.table+xml"/>
  <Override PartName="/xl/drawings/drawing8.xml" ContentType="application/vnd.openxmlformats-officedocument.drawing+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0000000-0000-0000-0000-000000000000}"/>
  <workbookPr updateLinks="always" codeName="ThisWorkbook"/>
  <mc:AlternateContent xmlns:mc="http://schemas.openxmlformats.org/markup-compatibility/2006">
    <mc:Choice Requires="x15">
      <x15ac:absPath xmlns:x15ac="http://schemas.microsoft.com/office/spreadsheetml/2010/11/ac" url="https://indra365-my.sharepoint.com/personal/drsanmartin_indra_es/Documents/A320_SN06/Fabricacion_Data/"/>
    </mc:Choice>
  </mc:AlternateContent>
  <xr:revisionPtr revIDLastSave="1045" documentId="14_{F80C2613-616A-458B-9303-EFA5F1372E06}" xr6:coauthVersionLast="47" xr6:coauthVersionMax="47" xr10:uidLastSave="{80FC65CA-8C98-4096-A931-797E6FA98907}"/>
  <bookViews>
    <workbookView xWindow="-2925" yWindow="-21720" windowWidth="38640" windowHeight="21120" tabRatio="638" firstSheet="11" activeTab="11" xr2:uid="{00000000-000D-0000-FFFF-FFFF00000000}"/>
  </bookViews>
  <sheets>
    <sheet name="Instalación - A320 SN06" sheetId="37" r:id="rId1"/>
    <sheet name="OPs (11122024)" sheetId="36" state="hidden" r:id="rId2"/>
    <sheet name="IMs" sheetId="38" r:id="rId3"/>
    <sheet name="Layout" sheetId="6" r:id="rId4"/>
    <sheet name="Historico" sheetId="26" state="hidden" r:id="rId5"/>
    <sheet name="Apoyo" sheetId="14" r:id="rId6"/>
    <sheet name="Contraseñas A320_SN06" sheetId="11" state="hidden" r:id="rId7"/>
    <sheet name="Historico POWER ON" sheetId="28" state="hidden" r:id="rId8"/>
    <sheet name="Dashboard" sheetId="41" r:id="rId9"/>
    <sheet name="INSTRUCCIONES OPs" sheetId="19" r:id="rId10"/>
    <sheet name="Incidencias" sheetId="43" r:id="rId11"/>
    <sheet name="OPs" sheetId="17" r:id="rId12"/>
    <sheet name="Incidencias OLD" sheetId="40" r:id="rId13"/>
    <sheet name="LM SAP" sheetId="30" state="hidden" r:id="rId14"/>
  </sheets>
  <definedNames>
    <definedName name="_xlnm._FilterDatabase" localSheetId="10" hidden="1">Incidencias!#REF!</definedName>
    <definedName name="_xlnm._FilterDatabase" localSheetId="12" hidden="1">'Incidencias OLD'!$M$302:$M$302</definedName>
    <definedName name="_xlnm._FilterDatabase" localSheetId="0" hidden="1">'Instalación - A320 SN06'!$A$8:$Q$75</definedName>
    <definedName name="_xlnm._FilterDatabase" localSheetId="13" hidden="1">'LM SAP'!#REF!</definedName>
    <definedName name="_xlnm._FilterDatabase" localSheetId="11" hidden="1">OPs!$D$677:$D$677</definedName>
    <definedName name="_xlnm._FilterDatabase" localSheetId="1" hidden="1">'OPs (11122024)'!#REF!</definedName>
    <definedName name="_xlnm.Print_Area" localSheetId="10">Incidencias!$C$4:$P$11</definedName>
    <definedName name="_xlnm.Print_Area" localSheetId="12">'Incidencias OLD'!$C$4:$T$8</definedName>
    <definedName name="_xlnm.Print_Area" localSheetId="0">'Instalación - A320 SN06'!$A$1:$N$76</definedName>
    <definedName name="_xlnm.Print_Area" localSheetId="11">OPs!$A$11:$Y$583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30" i="43" l="1"/>
  <c r="C331" i="43"/>
  <c r="P633" i="17"/>
  <c r="P673" i="17"/>
  <c r="P674" i="17"/>
  <c r="P675" i="17"/>
  <c r="P676" i="17"/>
  <c r="P677" i="17"/>
  <c r="P678" i="17"/>
  <c r="P679" i="17"/>
  <c r="P680" i="17"/>
  <c r="P681" i="17"/>
  <c r="P682" i="17"/>
  <c r="P683" i="17"/>
  <c r="P684" i="17"/>
  <c r="P685" i="17"/>
  <c r="P686" i="17"/>
  <c r="P687" i="17"/>
  <c r="P688" i="17"/>
  <c r="P689" i="17"/>
  <c r="P690" i="17"/>
  <c r="P691" i="17"/>
  <c r="P692" i="17"/>
  <c r="P693" i="17"/>
  <c r="P694" i="17"/>
  <c r="P695" i="17"/>
  <c r="P696" i="17"/>
  <c r="P697" i="17"/>
  <c r="P698" i="17"/>
  <c r="P699" i="17"/>
  <c r="P700" i="17"/>
  <c r="P701" i="17"/>
  <c r="P702" i="17"/>
  <c r="P703" i="17"/>
  <c r="P704" i="17"/>
  <c r="P705" i="17"/>
  <c r="P706" i="17"/>
  <c r="P707" i="17"/>
  <c r="P708" i="17"/>
  <c r="P709" i="17"/>
  <c r="P710" i="17"/>
  <c r="P711" i="17"/>
  <c r="P712" i="17"/>
  <c r="P713" i="17"/>
  <c r="P714" i="17"/>
  <c r="P715" i="17"/>
  <c r="P716" i="17"/>
  <c r="P717" i="17"/>
  <c r="P718" i="17"/>
  <c r="P719" i="17"/>
  <c r="P720" i="17"/>
  <c r="P721" i="17"/>
  <c r="P722" i="17"/>
  <c r="P723" i="17"/>
  <c r="P724" i="17"/>
  <c r="P725" i="17"/>
  <c r="P726" i="17"/>
  <c r="P727" i="17"/>
  <c r="P728" i="17"/>
  <c r="P729" i="17"/>
  <c r="P730" i="17"/>
  <c r="P731" i="17"/>
  <c r="P732" i="17"/>
  <c r="P733" i="17"/>
  <c r="P734" i="17"/>
  <c r="P735" i="17"/>
  <c r="P736" i="17"/>
  <c r="P737" i="17"/>
  <c r="P738" i="17"/>
  <c r="P739" i="17"/>
  <c r="P740" i="17"/>
  <c r="P741" i="17"/>
  <c r="P742" i="17"/>
  <c r="P743" i="17"/>
  <c r="P744" i="17"/>
  <c r="P745" i="17"/>
  <c r="P746" i="17"/>
  <c r="P747" i="17"/>
  <c r="P748" i="17"/>
  <c r="P749" i="17"/>
  <c r="P750" i="17"/>
  <c r="P751" i="17"/>
  <c r="P752" i="17"/>
  <c r="P753" i="17"/>
  <c r="P754" i="17"/>
  <c r="P755" i="17"/>
  <c r="P756" i="17"/>
  <c r="P757" i="17"/>
  <c r="P758" i="17"/>
  <c r="P759" i="17"/>
  <c r="P760" i="17"/>
  <c r="P761" i="17"/>
  <c r="P762" i="17"/>
  <c r="P763" i="17"/>
  <c r="P764" i="17"/>
  <c r="P765" i="17"/>
  <c r="P766" i="17"/>
  <c r="P767" i="17"/>
  <c r="P768" i="17"/>
  <c r="P769" i="17"/>
  <c r="P770" i="17"/>
  <c r="P771" i="17"/>
  <c r="P772" i="17"/>
  <c r="P773" i="17"/>
  <c r="P774" i="17"/>
  <c r="P775" i="17"/>
  <c r="P776" i="17"/>
  <c r="P777" i="17"/>
  <c r="P778" i="17"/>
  <c r="P779" i="17"/>
  <c r="P780" i="17"/>
  <c r="P781" i="17"/>
  <c r="P782" i="17"/>
  <c r="P783" i="17"/>
  <c r="P784" i="17"/>
  <c r="P785" i="17"/>
  <c r="P786" i="17"/>
  <c r="P787" i="17"/>
  <c r="P788" i="17"/>
  <c r="P789" i="17"/>
  <c r="P790" i="17"/>
  <c r="P791" i="17"/>
  <c r="P792" i="17"/>
  <c r="P793" i="17"/>
  <c r="P794" i="17"/>
  <c r="P795" i="17"/>
  <c r="P796" i="17"/>
  <c r="P797" i="17"/>
  <c r="P798" i="17"/>
  <c r="P799" i="17"/>
  <c r="P800" i="17"/>
  <c r="P801" i="17"/>
  <c r="P802" i="17"/>
  <c r="P803" i="17"/>
  <c r="P804" i="17"/>
  <c r="P805" i="17"/>
  <c r="P806" i="17"/>
  <c r="P807" i="17"/>
  <c r="P808" i="17"/>
  <c r="P809" i="17"/>
  <c r="P810" i="17"/>
  <c r="P811" i="17"/>
  <c r="P812" i="17"/>
  <c r="P813" i="17"/>
  <c r="P814" i="17"/>
  <c r="P815" i="17"/>
  <c r="P816" i="17"/>
  <c r="P817" i="17"/>
  <c r="P818" i="17"/>
  <c r="P819" i="17"/>
  <c r="P820" i="17"/>
  <c r="P821" i="17"/>
  <c r="P822" i="17"/>
  <c r="P823" i="17"/>
  <c r="P824" i="17"/>
  <c r="P825" i="17"/>
  <c r="P826" i="17"/>
  <c r="P827" i="17"/>
  <c r="P828" i="17"/>
  <c r="P829" i="17"/>
  <c r="P830" i="17"/>
  <c r="P831" i="17"/>
  <c r="P832" i="17"/>
  <c r="P833" i="17"/>
  <c r="P834" i="17"/>
  <c r="P835" i="17"/>
  <c r="P836" i="17"/>
  <c r="P837" i="17"/>
  <c r="P838" i="17"/>
  <c r="P839" i="17"/>
  <c r="P840" i="17"/>
  <c r="P841" i="17"/>
  <c r="P842" i="17"/>
  <c r="P843" i="17"/>
  <c r="P844" i="17"/>
  <c r="P845" i="17"/>
  <c r="P846" i="17"/>
  <c r="P847" i="17"/>
  <c r="P848" i="17"/>
  <c r="P849" i="17"/>
  <c r="P850" i="17"/>
  <c r="P851" i="17"/>
  <c r="P852" i="17"/>
  <c r="P853" i="17"/>
  <c r="P854" i="17"/>
  <c r="P855" i="17"/>
  <c r="P856" i="17"/>
  <c r="P857" i="17"/>
  <c r="P858" i="17"/>
  <c r="P859" i="17"/>
  <c r="P860" i="17"/>
  <c r="P861" i="17"/>
  <c r="P862" i="17"/>
  <c r="P863" i="17"/>
  <c r="P864" i="17"/>
  <c r="P865" i="17"/>
  <c r="P866" i="17"/>
  <c r="P867" i="17"/>
  <c r="P868" i="17"/>
  <c r="P869" i="17"/>
  <c r="P870" i="17"/>
  <c r="P871" i="17"/>
  <c r="P872" i="17"/>
  <c r="P873" i="17"/>
  <c r="P874" i="17"/>
  <c r="P875" i="17"/>
  <c r="P876" i="17"/>
  <c r="P877" i="17"/>
  <c r="P878" i="17"/>
  <c r="P879" i="17"/>
  <c r="P880" i="17"/>
  <c r="P881" i="17"/>
  <c r="P882" i="17"/>
  <c r="P883" i="17"/>
  <c r="P884" i="17"/>
  <c r="P885" i="17"/>
  <c r="P886" i="17"/>
  <c r="P887" i="17"/>
  <c r="P888" i="17"/>
  <c r="P889" i="17"/>
  <c r="P890" i="17"/>
  <c r="P891" i="17"/>
  <c r="P892" i="17"/>
  <c r="P893" i="17"/>
  <c r="P894" i="17"/>
  <c r="P895" i="17"/>
  <c r="P896" i="17"/>
  <c r="P897" i="17"/>
  <c r="P898" i="17"/>
  <c r="P899" i="17"/>
  <c r="P900" i="17"/>
  <c r="P901" i="17"/>
  <c r="P902" i="17"/>
  <c r="P903" i="17"/>
  <c r="P904" i="17"/>
  <c r="P905" i="17"/>
  <c r="P906" i="17"/>
  <c r="P907" i="17"/>
  <c r="P908" i="17"/>
  <c r="P909" i="17"/>
  <c r="P910" i="17"/>
  <c r="P911" i="17"/>
  <c r="P912" i="17"/>
  <c r="P913" i="17"/>
  <c r="P914" i="17"/>
  <c r="P915" i="17"/>
  <c r="P916" i="17"/>
  <c r="P917" i="17"/>
  <c r="P918" i="17"/>
  <c r="P919" i="17"/>
  <c r="P920" i="17"/>
  <c r="P921" i="17"/>
  <c r="P922" i="17"/>
  <c r="P923" i="17"/>
  <c r="P924" i="17"/>
  <c r="P925" i="17"/>
  <c r="P926" i="17"/>
  <c r="P927" i="17"/>
  <c r="P928" i="17"/>
  <c r="P929" i="17"/>
  <c r="P930" i="17"/>
  <c r="P931" i="17"/>
  <c r="P932" i="17"/>
  <c r="P933" i="17"/>
  <c r="P934" i="17"/>
  <c r="P935" i="17"/>
  <c r="P936" i="17"/>
  <c r="P937" i="17"/>
  <c r="P938" i="17"/>
  <c r="P939" i="17"/>
  <c r="P940" i="17"/>
  <c r="P941" i="17"/>
  <c r="P942" i="17"/>
  <c r="P943" i="17"/>
  <c r="P944" i="17"/>
  <c r="P945" i="17"/>
  <c r="P946" i="17"/>
  <c r="P947" i="17"/>
  <c r="P948" i="17"/>
  <c r="P949" i="17"/>
  <c r="P950" i="17"/>
  <c r="P951" i="17"/>
  <c r="P952" i="17"/>
  <c r="P953" i="17"/>
  <c r="P954" i="17"/>
  <c r="P955" i="17"/>
  <c r="P956" i="17"/>
  <c r="P957" i="17"/>
  <c r="P958" i="17"/>
  <c r="P959" i="17"/>
  <c r="P960" i="17"/>
  <c r="P961" i="17"/>
  <c r="P962" i="17"/>
  <c r="P963" i="17"/>
  <c r="P964" i="17"/>
  <c r="P965" i="17"/>
  <c r="P966" i="17"/>
  <c r="P967" i="17"/>
  <c r="P968" i="17"/>
  <c r="P969" i="17"/>
  <c r="P970" i="17"/>
  <c r="P971" i="17"/>
  <c r="P972" i="17"/>
  <c r="P973" i="17"/>
  <c r="P974" i="17"/>
  <c r="P975" i="17"/>
  <c r="P976" i="17"/>
  <c r="P977" i="17"/>
  <c r="P978" i="17"/>
  <c r="P979" i="17"/>
  <c r="P980" i="17"/>
  <c r="P981" i="17"/>
  <c r="P982" i="17"/>
  <c r="P983" i="17"/>
  <c r="P984" i="17"/>
  <c r="P985" i="17"/>
  <c r="P986" i="17"/>
  <c r="P987" i="17"/>
  <c r="P988" i="17"/>
  <c r="P989" i="17"/>
  <c r="P990" i="17"/>
  <c r="P991" i="17"/>
  <c r="P992" i="17"/>
  <c r="P993" i="17"/>
  <c r="P994" i="17"/>
  <c r="P995" i="17"/>
  <c r="P996" i="17"/>
  <c r="P997" i="17"/>
  <c r="P998" i="17"/>
  <c r="P999" i="17"/>
  <c r="P1000" i="17"/>
  <c r="P1001" i="17"/>
  <c r="P1002" i="17"/>
  <c r="P1003" i="17"/>
  <c r="P1004" i="17"/>
  <c r="P1005" i="17"/>
  <c r="P1006" i="17"/>
  <c r="P1007" i="17"/>
  <c r="P1008" i="17"/>
  <c r="P1009" i="17"/>
  <c r="P1010" i="17"/>
  <c r="P1011" i="17"/>
  <c r="P1012" i="17"/>
  <c r="P1013" i="17"/>
  <c r="P1014" i="17"/>
  <c r="P1015" i="17"/>
  <c r="P1016" i="17"/>
  <c r="P1017" i="17"/>
  <c r="P1018" i="17"/>
  <c r="P1019" i="17"/>
  <c r="P1020" i="17"/>
  <c r="P1021" i="17"/>
  <c r="P1022" i="17"/>
  <c r="P1023" i="17"/>
  <c r="P1024" i="17"/>
  <c r="P1025" i="17"/>
  <c r="P1026" i="17"/>
  <c r="P1027" i="17"/>
  <c r="P1028" i="17"/>
  <c r="P1029" i="17"/>
  <c r="P1030" i="17"/>
  <c r="P1031" i="17"/>
  <c r="P1032" i="17"/>
  <c r="P1033" i="17"/>
  <c r="P1034" i="17"/>
  <c r="P1035" i="17"/>
  <c r="P1036" i="17"/>
  <c r="P1037" i="17"/>
  <c r="P1038" i="17"/>
  <c r="P1039" i="17"/>
  <c r="P1040" i="17"/>
  <c r="P1041" i="17"/>
  <c r="P1042" i="17"/>
  <c r="P1043" i="17"/>
  <c r="P1044" i="17"/>
  <c r="P1045" i="17"/>
  <c r="P1046" i="17"/>
  <c r="P1047" i="17"/>
  <c r="P1048" i="17"/>
  <c r="P1049" i="17"/>
  <c r="P1050" i="17"/>
  <c r="P1051" i="17"/>
  <c r="P1052" i="17"/>
  <c r="P1053" i="17"/>
  <c r="P1054" i="17"/>
  <c r="P1055" i="17"/>
  <c r="P1056" i="17"/>
  <c r="P1057" i="17"/>
  <c r="P1058" i="17"/>
  <c r="P1059" i="17"/>
  <c r="P1060" i="17"/>
  <c r="P1061" i="17"/>
  <c r="P1062" i="17"/>
  <c r="P1063" i="17"/>
  <c r="P1064" i="17"/>
  <c r="P1065" i="17"/>
  <c r="P1066" i="17"/>
  <c r="P1067" i="17"/>
  <c r="P1068" i="17"/>
  <c r="P1069" i="17"/>
  <c r="P1070" i="17"/>
  <c r="P1071" i="17"/>
  <c r="P1072" i="17"/>
  <c r="P1073" i="17"/>
  <c r="P1074" i="17"/>
  <c r="P1075" i="17"/>
  <c r="P1076" i="17"/>
  <c r="P1077" i="17"/>
  <c r="P1078" i="17"/>
  <c r="P1079" i="17"/>
  <c r="P1080" i="17"/>
  <c r="P1081" i="17"/>
  <c r="P1082" i="17"/>
  <c r="P1083" i="17"/>
  <c r="P1084" i="17"/>
  <c r="P1085" i="17"/>
  <c r="P1086" i="17"/>
  <c r="P1087" i="17"/>
  <c r="P1088" i="17"/>
  <c r="P1089" i="17"/>
  <c r="P1090" i="17"/>
  <c r="P1091" i="17"/>
  <c r="P1092" i="17"/>
  <c r="P1093" i="17"/>
  <c r="P1094" i="17"/>
  <c r="P1095" i="17"/>
  <c r="P1096" i="17"/>
  <c r="P1097" i="17"/>
  <c r="P1098" i="17"/>
  <c r="P1099" i="17"/>
  <c r="P1100" i="17"/>
  <c r="P1101" i="17"/>
  <c r="P1102" i="17"/>
  <c r="P1103" i="17"/>
  <c r="P1104" i="17"/>
  <c r="P1105" i="17"/>
  <c r="P1106" i="17"/>
  <c r="P1107" i="17"/>
  <c r="P1108" i="17"/>
  <c r="P1109" i="17"/>
  <c r="P1110" i="17"/>
  <c r="P1111" i="17"/>
  <c r="P1112" i="17"/>
  <c r="P1113" i="17"/>
  <c r="P1114" i="17"/>
  <c r="P1115" i="17"/>
  <c r="P1116" i="17"/>
  <c r="P1117" i="17"/>
  <c r="P1118" i="17"/>
  <c r="P1119" i="17"/>
  <c r="P1120" i="17"/>
  <c r="P1121" i="17"/>
  <c r="P1122" i="17"/>
  <c r="P1123" i="17"/>
  <c r="P1124" i="17"/>
  <c r="P1125" i="17"/>
  <c r="P1126" i="17"/>
  <c r="P1127" i="17"/>
  <c r="P1128" i="17"/>
  <c r="P1129" i="17"/>
  <c r="P1130" i="17"/>
  <c r="P1131" i="17"/>
  <c r="P1132" i="17"/>
  <c r="P1133" i="17"/>
  <c r="P1134" i="17"/>
  <c r="P1135" i="17"/>
  <c r="P1136" i="17"/>
  <c r="P1137" i="17"/>
  <c r="P1138" i="17"/>
  <c r="P1139" i="17"/>
  <c r="P1140" i="17"/>
  <c r="P1141" i="17"/>
  <c r="P1142" i="17"/>
  <c r="P1143" i="17"/>
  <c r="P1144" i="17"/>
  <c r="P1145" i="17"/>
  <c r="P1146" i="17"/>
  <c r="P1147" i="17"/>
  <c r="P1148" i="17"/>
  <c r="P1149" i="17"/>
  <c r="P1150" i="17"/>
  <c r="P1151" i="17"/>
  <c r="P1152" i="17"/>
  <c r="P1153" i="17"/>
  <c r="P1154" i="17"/>
  <c r="P1155" i="17"/>
  <c r="P1156" i="17"/>
  <c r="P1157" i="17"/>
  <c r="P1158" i="17"/>
  <c r="P1159" i="17"/>
  <c r="P1160" i="17"/>
  <c r="P1161" i="17"/>
  <c r="P1162" i="17"/>
  <c r="P1163" i="17"/>
  <c r="P1164" i="17"/>
  <c r="P1165" i="17"/>
  <c r="P1166" i="17"/>
  <c r="P1167" i="17"/>
  <c r="P1168" i="17"/>
  <c r="P1169" i="17"/>
  <c r="P1170" i="17"/>
  <c r="P1171" i="17"/>
  <c r="P1172" i="17"/>
  <c r="P1173" i="17"/>
  <c r="P1174" i="17"/>
  <c r="P1175" i="17"/>
  <c r="P1176" i="17"/>
  <c r="P1177" i="17"/>
  <c r="P1178" i="17"/>
  <c r="P1179" i="17"/>
  <c r="P1180" i="17"/>
  <c r="P1181" i="17"/>
  <c r="P1182" i="17"/>
  <c r="P1183" i="17"/>
  <c r="P1184" i="17"/>
  <c r="P1185" i="17"/>
  <c r="P1186" i="17"/>
  <c r="P1187" i="17"/>
  <c r="P1188" i="17"/>
  <c r="P1189" i="17"/>
  <c r="P1190" i="17"/>
  <c r="P1191" i="17"/>
  <c r="P1192" i="17"/>
  <c r="P1193" i="17"/>
  <c r="P1194" i="17"/>
  <c r="P1195" i="17"/>
  <c r="Q672" i="17"/>
  <c r="P672" i="17" s="1"/>
  <c r="R672" i="17"/>
  <c r="S672" i="17"/>
  <c r="Y672" i="17"/>
  <c r="Q671" i="17"/>
  <c r="P671" i="17" s="1"/>
  <c r="R671" i="17"/>
  <c r="S671" i="17"/>
  <c r="Y671" i="17"/>
  <c r="Q670" i="17"/>
  <c r="P670" i="17" s="1"/>
  <c r="R670" i="17"/>
  <c r="S670" i="17"/>
  <c r="Y670" i="17"/>
  <c r="Y669" i="17"/>
  <c r="S669" i="17"/>
  <c r="R669" i="17"/>
  <c r="Q669" i="17"/>
  <c r="P669" i="17" s="1"/>
  <c r="Y667" i="17"/>
  <c r="Y668" i="17"/>
  <c r="S667" i="17"/>
  <c r="S668" i="17"/>
  <c r="R667" i="17"/>
  <c r="R668" i="17"/>
  <c r="Q667" i="17"/>
  <c r="P667" i="17" s="1"/>
  <c r="Q668" i="17"/>
  <c r="Y663" i="17"/>
  <c r="Y664" i="17"/>
  <c r="Y665" i="17"/>
  <c r="Y666" i="17"/>
  <c r="S663" i="17"/>
  <c r="S664" i="17"/>
  <c r="S665" i="17"/>
  <c r="S666" i="17"/>
  <c r="R663" i="17"/>
  <c r="R664" i="17"/>
  <c r="R665" i="17"/>
  <c r="R666" i="17"/>
  <c r="Q663" i="17"/>
  <c r="P663" i="17" s="1"/>
  <c r="Q664" i="17"/>
  <c r="V664" i="17" s="1"/>
  <c r="Q665" i="17"/>
  <c r="V665" i="17" s="1"/>
  <c r="Q666" i="17"/>
  <c r="V666" i="17" s="1"/>
  <c r="Q659" i="17"/>
  <c r="V659" i="17" s="1"/>
  <c r="Q660" i="17"/>
  <c r="V660" i="17" s="1"/>
  <c r="Q661" i="17"/>
  <c r="V661" i="17" s="1"/>
  <c r="Q662" i="17"/>
  <c r="V662" i="17" s="1"/>
  <c r="R659" i="17"/>
  <c r="R660" i="17"/>
  <c r="R661" i="17"/>
  <c r="R662" i="17"/>
  <c r="S659" i="17"/>
  <c r="S660" i="17"/>
  <c r="S661" i="17"/>
  <c r="S662" i="17"/>
  <c r="Y659" i="17"/>
  <c r="Y660" i="17"/>
  <c r="Y661" i="17"/>
  <c r="Y662" i="17"/>
  <c r="Q658" i="17"/>
  <c r="V658" i="17" s="1"/>
  <c r="R658" i="17"/>
  <c r="S658" i="17"/>
  <c r="Y658" i="17"/>
  <c r="C326" i="43"/>
  <c r="C325" i="43"/>
  <c r="C323" i="43"/>
  <c r="C324" i="43"/>
  <c r="C322" i="43"/>
  <c r="C321" i="43"/>
  <c r="C320" i="43"/>
  <c r="C319" i="43"/>
  <c r="C318" i="43"/>
  <c r="C317" i="43"/>
  <c r="V672" i="17" l="1"/>
  <c r="V671" i="17"/>
  <c r="V670" i="17"/>
  <c r="P662" i="17"/>
  <c r="P661" i="17"/>
  <c r="P660" i="17"/>
  <c r="P659" i="17"/>
  <c r="P668" i="17"/>
  <c r="V668" i="17"/>
  <c r="P666" i="17"/>
  <c r="P665" i="17"/>
  <c r="V669" i="17"/>
  <c r="V667" i="17"/>
  <c r="V663" i="17"/>
  <c r="P664" i="17"/>
  <c r="P658" i="17"/>
  <c r="Q657" i="17"/>
  <c r="P657" i="17" s="1"/>
  <c r="R657" i="17"/>
  <c r="S657" i="17"/>
  <c r="Y657" i="17"/>
  <c r="C310" i="43"/>
  <c r="C311" i="43"/>
  <c r="C312" i="43"/>
  <c r="C313" i="43"/>
  <c r="C314" i="43"/>
  <c r="C315" i="43"/>
  <c r="C316" i="43"/>
  <c r="Q656" i="17"/>
  <c r="P656" i="17" s="1"/>
  <c r="R656" i="17"/>
  <c r="S656" i="17"/>
  <c r="Y656" i="17"/>
  <c r="G6" i="43"/>
  <c r="G5" i="43"/>
  <c r="Q655" i="17"/>
  <c r="P655" i="17" s="1"/>
  <c r="R655" i="17"/>
  <c r="S655" i="17"/>
  <c r="Y655" i="17"/>
  <c r="Y654" i="17"/>
  <c r="Y653" i="17"/>
  <c r="Y652" i="17"/>
  <c r="S654" i="17"/>
  <c r="S653" i="17"/>
  <c r="S652" i="17"/>
  <c r="R654" i="17"/>
  <c r="R653" i="17"/>
  <c r="R652" i="17"/>
  <c r="Q654" i="17"/>
  <c r="V654" i="17" s="1"/>
  <c r="Q653" i="17"/>
  <c r="V653" i="17" s="1"/>
  <c r="Q652" i="17"/>
  <c r="V652" i="17" s="1"/>
  <c r="Q651" i="17"/>
  <c r="P651" i="17" s="1"/>
  <c r="R651" i="17"/>
  <c r="S651" i="17"/>
  <c r="Y651" i="17"/>
  <c r="Q650" i="17"/>
  <c r="R650" i="17"/>
  <c r="S650" i="17"/>
  <c r="Y650" i="17"/>
  <c r="V657" i="17" l="1"/>
  <c r="V656" i="17"/>
  <c r="G7" i="43"/>
  <c r="P654" i="17"/>
  <c r="V651" i="17"/>
  <c r="P652" i="17"/>
  <c r="P653" i="17"/>
  <c r="V655" i="17"/>
  <c r="V650" i="17"/>
  <c r="P650" i="17"/>
  <c r="Q649" i="17"/>
  <c r="V649" i="17" s="1"/>
  <c r="R649" i="17"/>
  <c r="S649" i="17"/>
  <c r="Y649" i="17"/>
  <c r="Q648" i="17"/>
  <c r="P648" i="17" s="1"/>
  <c r="R648" i="17"/>
  <c r="S648" i="17"/>
  <c r="Y648" i="17"/>
  <c r="Q647" i="17"/>
  <c r="V647" i="17" s="1"/>
  <c r="R647" i="17"/>
  <c r="S647" i="17"/>
  <c r="Y647" i="17"/>
  <c r="Y646" i="17"/>
  <c r="S646" i="17"/>
  <c r="R646" i="17"/>
  <c r="Q646" i="17"/>
  <c r="V646" i="17" s="1"/>
  <c r="Q645" i="17"/>
  <c r="P645" i="17" s="1"/>
  <c r="R645" i="17"/>
  <c r="S645" i="17"/>
  <c r="Y645" i="17"/>
  <c r="Q644" i="17"/>
  <c r="P644" i="17" s="1"/>
  <c r="R644" i="17"/>
  <c r="S644" i="17"/>
  <c r="Y644" i="17"/>
  <c r="Q643" i="17"/>
  <c r="P643" i="17" s="1"/>
  <c r="R643" i="17"/>
  <c r="S643" i="17"/>
  <c r="Y643" i="17"/>
  <c r="Q642" i="17"/>
  <c r="P642" i="17" s="1"/>
  <c r="R642" i="17"/>
  <c r="S642" i="17"/>
  <c r="Y642" i="17"/>
  <c r="Q641" i="17"/>
  <c r="P641" i="17" s="1"/>
  <c r="R641" i="17"/>
  <c r="S641" i="17"/>
  <c r="Y641" i="17"/>
  <c r="R640" i="17"/>
  <c r="S640" i="17"/>
  <c r="Y640" i="17"/>
  <c r="Q640" i="17"/>
  <c r="V640" i="17" s="1"/>
  <c r="Q639" i="17"/>
  <c r="P639" i="17" s="1"/>
  <c r="R639" i="17"/>
  <c r="S639" i="17"/>
  <c r="Y639" i="17"/>
  <c r="D302" i="40"/>
  <c r="P649" i="17" l="1"/>
  <c r="V648" i="17"/>
  <c r="P646" i="17"/>
  <c r="P647" i="17"/>
  <c r="V645" i="17"/>
  <c r="V644" i="17"/>
  <c r="V642" i="17"/>
  <c r="V643" i="17"/>
  <c r="V641" i="17"/>
  <c r="P640" i="17"/>
  <c r="V639" i="17"/>
  <c r="Y638" i="17"/>
  <c r="Y637" i="17"/>
  <c r="S638" i="17"/>
  <c r="S637" i="17"/>
  <c r="R638" i="17"/>
  <c r="R637" i="17"/>
  <c r="Q638" i="17"/>
  <c r="V638" i="17" s="1"/>
  <c r="Q637" i="17"/>
  <c r="V637" i="17" s="1"/>
  <c r="P638" i="17"/>
  <c r="Q636" i="17"/>
  <c r="P636" i="17" s="1"/>
  <c r="R636" i="17"/>
  <c r="S636" i="17"/>
  <c r="Y636" i="17"/>
  <c r="Q635" i="17"/>
  <c r="P635" i="17" s="1"/>
  <c r="R635" i="17"/>
  <c r="S635" i="17"/>
  <c r="Y635" i="17"/>
  <c r="P634" i="17"/>
  <c r="Q634" i="17"/>
  <c r="V634" i="17" s="1"/>
  <c r="R634" i="17"/>
  <c r="S634" i="17"/>
  <c r="Y634" i="17"/>
  <c r="R628" i="17"/>
  <c r="R625" i="17"/>
  <c r="Q633" i="17"/>
  <c r="V633" i="17" s="1"/>
  <c r="R633" i="17"/>
  <c r="S633" i="17"/>
  <c r="Y633" i="17"/>
  <c r="Q632" i="17"/>
  <c r="P632" i="17" s="1"/>
  <c r="R632" i="17"/>
  <c r="S632" i="17"/>
  <c r="Y632" i="17"/>
  <c r="Y631" i="17"/>
  <c r="S631" i="17"/>
  <c r="R631" i="17"/>
  <c r="Q631" i="17"/>
  <c r="V631" i="17" s="1"/>
  <c r="Q630" i="17"/>
  <c r="V630" i="17" s="1"/>
  <c r="R630" i="17"/>
  <c r="S630" i="17"/>
  <c r="Y630" i="17"/>
  <c r="Q629" i="17"/>
  <c r="P629" i="17" s="1"/>
  <c r="R629" i="17"/>
  <c r="S629" i="17"/>
  <c r="Y629" i="17"/>
  <c r="G7" i="17"/>
  <c r="Y628" i="17"/>
  <c r="S628" i="17"/>
  <c r="Q628" i="17"/>
  <c r="V628" i="17" s="1"/>
  <c r="Y627" i="17"/>
  <c r="S627" i="17"/>
  <c r="R627" i="17"/>
  <c r="Q627" i="17"/>
  <c r="V627" i="17" s="1"/>
  <c r="Y626" i="17"/>
  <c r="S626" i="17"/>
  <c r="R626" i="17"/>
  <c r="Q626" i="17"/>
  <c r="V626" i="17" s="1"/>
  <c r="J192" i="40"/>
  <c r="Q625" i="17"/>
  <c r="P625" i="17" s="1"/>
  <c r="Y625" i="17"/>
  <c r="S625" i="17"/>
  <c r="Q624" i="17"/>
  <c r="P624" i="17" s="1"/>
  <c r="R624" i="17"/>
  <c r="S624" i="17"/>
  <c r="Y624" i="17"/>
  <c r="Q386" i="17"/>
  <c r="S131" i="17"/>
  <c r="S133" i="17"/>
  <c r="S134" i="17"/>
  <c r="S552" i="17"/>
  <c r="S553" i="17"/>
  <c r="S554" i="17"/>
  <c r="S555" i="17"/>
  <c r="S556" i="17"/>
  <c r="S557" i="17"/>
  <c r="S558" i="17"/>
  <c r="S559" i="17"/>
  <c r="S560" i="17"/>
  <c r="S561" i="17"/>
  <c r="S562" i="17"/>
  <c r="S563" i="17"/>
  <c r="S564" i="17"/>
  <c r="S565" i="17"/>
  <c r="S566" i="17"/>
  <c r="S567" i="17"/>
  <c r="S588" i="17"/>
  <c r="S226" i="17"/>
  <c r="S227" i="17"/>
  <c r="S12" i="17"/>
  <c r="S589" i="17"/>
  <c r="S253" i="17"/>
  <c r="S184" i="17"/>
  <c r="S64" i="17"/>
  <c r="S621" i="17"/>
  <c r="S196" i="17"/>
  <c r="S49" i="17"/>
  <c r="S339" i="17"/>
  <c r="S195" i="17"/>
  <c r="S61" i="17"/>
  <c r="S60" i="17"/>
  <c r="S22" i="17"/>
  <c r="S123" i="17"/>
  <c r="S204" i="17"/>
  <c r="S206" i="17"/>
  <c r="S338" i="17"/>
  <c r="S65" i="17"/>
  <c r="S153" i="17"/>
  <c r="S135" i="17"/>
  <c r="S219" i="17"/>
  <c r="S550" i="17"/>
  <c r="S549" i="17"/>
  <c r="S548" i="17"/>
  <c r="S547" i="17"/>
  <c r="S546" i="17"/>
  <c r="S545" i="17"/>
  <c r="S544" i="17"/>
  <c r="S543" i="17"/>
  <c r="S542" i="17"/>
  <c r="S396" i="17"/>
  <c r="S372" i="17"/>
  <c r="S551" i="17"/>
  <c r="S332" i="17"/>
  <c r="S431" i="17"/>
  <c r="S439" i="17"/>
  <c r="S459" i="17"/>
  <c r="S465" i="17"/>
  <c r="S432" i="17"/>
  <c r="S493" i="17"/>
  <c r="S90" i="17"/>
  <c r="S128" i="17"/>
  <c r="S592" i="17"/>
  <c r="S475" i="17"/>
  <c r="S389" i="17"/>
  <c r="S430" i="17"/>
  <c r="S590" i="17"/>
  <c r="S344" i="17"/>
  <c r="S366" i="17"/>
  <c r="S594" i="17"/>
  <c r="S210" i="17"/>
  <c r="S442" i="17"/>
  <c r="S108" i="17"/>
  <c r="S97" i="17"/>
  <c r="S103" i="17"/>
  <c r="S140" i="17"/>
  <c r="S115" i="17"/>
  <c r="S301" i="17"/>
  <c r="S401" i="17"/>
  <c r="S236" i="17"/>
  <c r="S484" i="17"/>
  <c r="S460" i="17"/>
  <c r="S610" i="17"/>
  <c r="S160" i="17"/>
  <c r="S593" i="17"/>
  <c r="S238" i="17"/>
  <c r="S591" i="17"/>
  <c r="S385" i="17"/>
  <c r="S327" i="17"/>
  <c r="S457" i="17"/>
  <c r="S367" i="17"/>
  <c r="S466" i="17"/>
  <c r="S62" i="17"/>
  <c r="S71" i="17"/>
  <c r="S72" i="17"/>
  <c r="S617" i="17"/>
  <c r="S73" i="17"/>
  <c r="S618" i="17"/>
  <c r="S623" i="17"/>
  <c r="S608" i="17"/>
  <c r="S27" i="17"/>
  <c r="S25" i="17"/>
  <c r="S53" i="17"/>
  <c r="S619" i="17"/>
  <c r="S77" i="17"/>
  <c r="S13" i="17"/>
  <c r="S33" i="17"/>
  <c r="S76" i="17"/>
  <c r="S37" i="17"/>
  <c r="S254" i="17"/>
  <c r="S272" i="17"/>
  <c r="S281" i="17"/>
  <c r="S255" i="17"/>
  <c r="S256" i="17"/>
  <c r="S257" i="17"/>
  <c r="S258" i="17"/>
  <c r="S259" i="17"/>
  <c r="S298" i="17"/>
  <c r="S262" i="17"/>
  <c r="S300" i="17"/>
  <c r="S59" i="17"/>
  <c r="S197" i="17"/>
  <c r="S52" i="17"/>
  <c r="S245" i="17"/>
  <c r="S269" i="17"/>
  <c r="S494" i="17"/>
  <c r="S229" i="17"/>
  <c r="S247" i="17"/>
  <c r="S343" i="17"/>
  <c r="S606" i="17"/>
  <c r="S228" i="17"/>
  <c r="S495" i="17"/>
  <c r="S230" i="17"/>
  <c r="S188" i="17"/>
  <c r="S240" i="17"/>
  <c r="S264" i="17"/>
  <c r="S278" i="17"/>
  <c r="S241" i="17"/>
  <c r="S265" i="17"/>
  <c r="S279" i="17"/>
  <c r="S50" i="17"/>
  <c r="S79" i="17"/>
  <c r="S120" i="17"/>
  <c r="S183" i="17"/>
  <c r="S186" i="17"/>
  <c r="S35" i="17"/>
  <c r="S192" i="17"/>
  <c r="S198" i="17"/>
  <c r="S199" i="17"/>
  <c r="S341" i="17"/>
  <c r="S58" i="17"/>
  <c r="S321" i="17"/>
  <c r="S14" i="17"/>
  <c r="S31" i="17"/>
  <c r="S32" i="17"/>
  <c r="S239" i="17"/>
  <c r="S263" i="17"/>
  <c r="S38" i="17"/>
  <c r="S39" i="17"/>
  <c r="S40" i="17"/>
  <c r="S57" i="17"/>
  <c r="S620" i="17"/>
  <c r="S16" i="17"/>
  <c r="S596" i="17"/>
  <c r="S21" i="17"/>
  <c r="S597" i="17"/>
  <c r="S17" i="17"/>
  <c r="S244" i="17"/>
  <c r="S268" i="17"/>
  <c r="S51" i="17"/>
  <c r="S342" i="17"/>
  <c r="S242" i="17"/>
  <c r="S266" i="17"/>
  <c r="S248" i="17"/>
  <c r="S271" i="17"/>
  <c r="S273" i="17"/>
  <c r="S297" i="17"/>
  <c r="S299" i="17"/>
  <c r="S249" i="17"/>
  <c r="S274" i="17"/>
  <c r="S250" i="17"/>
  <c r="S275" i="17"/>
  <c r="S251" i="17"/>
  <c r="S276" i="17"/>
  <c r="S63" i="17"/>
  <c r="S194" i="17"/>
  <c r="S243" i="17"/>
  <c r="S267" i="17"/>
  <c r="S191" i="17"/>
  <c r="S568" i="17"/>
  <c r="S193" i="17"/>
  <c r="S190" i="17"/>
  <c r="S161" i="17"/>
  <c r="S162" i="17"/>
  <c r="S288" i="17"/>
  <c r="S290" i="17"/>
  <c r="S163" i="17"/>
  <c r="S283" i="17"/>
  <c r="S284" i="17"/>
  <c r="S282" i="17"/>
  <c r="S287" i="17"/>
  <c r="S285" i="17"/>
  <c r="S291" i="17"/>
  <c r="S286" i="17"/>
  <c r="S289" i="17"/>
  <c r="S164" i="17"/>
  <c r="S292" i="17"/>
  <c r="S165" i="17"/>
  <c r="S166" i="17"/>
  <c r="S167" i="17"/>
  <c r="S168" i="17"/>
  <c r="S169" i="17"/>
  <c r="S170" i="17"/>
  <c r="S171" i="17"/>
  <c r="S172" i="17"/>
  <c r="S173" i="17"/>
  <c r="S174" i="17"/>
  <c r="S175" i="17"/>
  <c r="S26" i="17"/>
  <c r="S15" i="17"/>
  <c r="S45" i="17"/>
  <c r="S18" i="17"/>
  <c r="S42" i="17"/>
  <c r="S43" i="17"/>
  <c r="S55" i="17"/>
  <c r="S24" i="17"/>
  <c r="S29" i="17"/>
  <c r="S334" i="17"/>
  <c r="S23" i="17"/>
  <c r="S54" i="17"/>
  <c r="S126" i="17"/>
  <c r="S607" i="17"/>
  <c r="S205" i="17"/>
  <c r="S605" i="17"/>
  <c r="S75" i="17"/>
  <c r="S74" i="17"/>
  <c r="S233" i="17"/>
  <c r="S203" i="17"/>
  <c r="S260" i="17"/>
  <c r="S261" i="17"/>
  <c r="S124" i="17"/>
  <c r="S125" i="17"/>
  <c r="S622" i="17"/>
  <c r="S41" i="17"/>
  <c r="S81" i="17"/>
  <c r="S82" i="17"/>
  <c r="S86" i="17"/>
  <c r="S601" i="17"/>
  <c r="S89" i="17"/>
  <c r="S602" i="17"/>
  <c r="S87" i="17"/>
  <c r="S48" i="17"/>
  <c r="S85" i="17"/>
  <c r="S88" i="17"/>
  <c r="S600" i="17"/>
  <c r="S121" i="17"/>
  <c r="S122" i="17"/>
  <c r="S30" i="17"/>
  <c r="S335" i="17"/>
  <c r="S336" i="17"/>
  <c r="S234" i="17"/>
  <c r="S584" i="17"/>
  <c r="S585" i="17"/>
  <c r="S586" i="17"/>
  <c r="S604" i="17"/>
  <c r="S326" i="17"/>
  <c r="S312" i="17"/>
  <c r="S313" i="17"/>
  <c r="S304" i="17"/>
  <c r="S306" i="17"/>
  <c r="S302" i="17"/>
  <c r="S309" i="17"/>
  <c r="S307" i="17"/>
  <c r="S314" i="17"/>
  <c r="S315" i="17"/>
  <c r="S316" i="17"/>
  <c r="S317" i="17"/>
  <c r="S310" i="17"/>
  <c r="S220" i="17"/>
  <c r="S221" i="17"/>
  <c r="S130" i="17"/>
  <c r="S132" i="17"/>
  <c r="S305" i="17"/>
  <c r="S308" i="17"/>
  <c r="S96" i="17"/>
  <c r="S95" i="17"/>
  <c r="S303" i="17"/>
  <c r="S91" i="17"/>
  <c r="S93" i="17"/>
  <c r="S94" i="17"/>
  <c r="S129" i="17"/>
  <c r="S311" i="17"/>
  <c r="S320" i="17"/>
  <c r="S92" i="17"/>
  <c r="S319" i="17"/>
  <c r="S322" i="17"/>
  <c r="S323" i="17"/>
  <c r="S324" i="17"/>
  <c r="S325" i="17"/>
  <c r="S318" i="17"/>
  <c r="S337" i="17"/>
  <c r="S66" i="17"/>
  <c r="S67" i="17"/>
  <c r="S68" i="17"/>
  <c r="S69" i="17"/>
  <c r="S70" i="17"/>
  <c r="S246" i="17"/>
  <c r="S270" i="17"/>
  <c r="S176" i="17"/>
  <c r="S177" i="17"/>
  <c r="S178" i="17"/>
  <c r="S179" i="17"/>
  <c r="S180" i="17"/>
  <c r="S181" i="17"/>
  <c r="S182" i="17"/>
  <c r="S185" i="17"/>
  <c r="S20" i="17"/>
  <c r="S46" i="17"/>
  <c r="S19" i="17"/>
  <c r="S44" i="17"/>
  <c r="S615" i="17"/>
  <c r="S56" i="17"/>
  <c r="S80" i="17"/>
  <c r="S84" i="17"/>
  <c r="S616" i="17"/>
  <c r="S36" i="17"/>
  <c r="S187" i="17"/>
  <c r="S231" i="17"/>
  <c r="S78" i="17"/>
  <c r="S127" i="17"/>
  <c r="S189" i="17"/>
  <c r="S202" i="17"/>
  <c r="S207" i="17"/>
  <c r="S208" i="17"/>
  <c r="S340" i="17"/>
  <c r="S595" i="17"/>
  <c r="S34" i="17"/>
  <c r="S47" i="17"/>
  <c r="S28" i="17"/>
  <c r="S569" i="17"/>
  <c r="S333" i="17"/>
  <c r="S295" i="17"/>
  <c r="S330" i="17"/>
  <c r="S296" i="17"/>
  <c r="S331" i="17"/>
  <c r="S293" i="17"/>
  <c r="S328" i="17"/>
  <c r="S294" i="17"/>
  <c r="S329" i="17"/>
  <c r="S222" i="17"/>
  <c r="S223" i="17"/>
  <c r="S224" i="17"/>
  <c r="S225" i="17"/>
  <c r="S209" i="17"/>
  <c r="S83" i="17"/>
  <c r="S200" i="17"/>
  <c r="S98" i="17"/>
  <c r="S99" i="17"/>
  <c r="S100" i="17"/>
  <c r="S101" i="17"/>
  <c r="S102" i="17"/>
  <c r="S104" i="17"/>
  <c r="S105" i="17"/>
  <c r="S106" i="17"/>
  <c r="S107" i="17"/>
  <c r="S109" i="17"/>
  <c r="S110" i="17"/>
  <c r="S111" i="17"/>
  <c r="S112" i="17"/>
  <c r="S113" i="17"/>
  <c r="S114" i="17"/>
  <c r="S211" i="17"/>
  <c r="S212" i="17"/>
  <c r="S213" i="17"/>
  <c r="S214" i="17"/>
  <c r="S215" i="17"/>
  <c r="S216" i="17"/>
  <c r="S217" i="17"/>
  <c r="S218" i="17"/>
  <c r="S136" i="17"/>
  <c r="S137" i="17"/>
  <c r="S138" i="17"/>
  <c r="S139" i="17"/>
  <c r="S154" i="17"/>
  <c r="S155" i="17"/>
  <c r="S157" i="17"/>
  <c r="S156" i="17"/>
  <c r="S158" i="17"/>
  <c r="S159" i="17"/>
  <c r="S345" i="17"/>
  <c r="S346" i="17"/>
  <c r="S347" i="17"/>
  <c r="S348" i="17"/>
  <c r="S349" i="17"/>
  <c r="S350" i="17"/>
  <c r="S351" i="17"/>
  <c r="S352" i="17"/>
  <c r="S353" i="17"/>
  <c r="S354" i="17"/>
  <c r="S355" i="17"/>
  <c r="S356" i="17"/>
  <c r="S357" i="17"/>
  <c r="S358" i="17"/>
  <c r="S359" i="17"/>
  <c r="S360" i="17"/>
  <c r="S361" i="17"/>
  <c r="S362" i="17"/>
  <c r="S363" i="17"/>
  <c r="S364" i="17"/>
  <c r="S365" i="17"/>
  <c r="S368" i="17"/>
  <c r="S369" i="17"/>
  <c r="S370" i="17"/>
  <c r="S371" i="17"/>
  <c r="S373" i="17"/>
  <c r="S374" i="17"/>
  <c r="S375" i="17"/>
  <c r="S376" i="17"/>
  <c r="S377" i="17"/>
  <c r="S378" i="17"/>
  <c r="S379" i="17"/>
  <c r="S380" i="17"/>
  <c r="S381" i="17"/>
  <c r="S382" i="17"/>
  <c r="S383" i="17"/>
  <c r="S384" i="17"/>
  <c r="S386" i="17"/>
  <c r="S387" i="17"/>
  <c r="S388" i="17"/>
  <c r="S390" i="17"/>
  <c r="S391" i="17"/>
  <c r="S392" i="17"/>
  <c r="S393" i="17"/>
  <c r="S394" i="17"/>
  <c r="S609" i="17"/>
  <c r="S395" i="17"/>
  <c r="S397" i="17"/>
  <c r="S398" i="17"/>
  <c r="S399" i="17"/>
  <c r="S400" i="17"/>
  <c r="S116" i="17"/>
  <c r="S117" i="17"/>
  <c r="S118" i="17"/>
  <c r="S119" i="17"/>
  <c r="S141" i="17"/>
  <c r="S142" i="17"/>
  <c r="S143" i="17"/>
  <c r="S144" i="17"/>
  <c r="S145" i="17"/>
  <c r="S146" i="17"/>
  <c r="S147" i="17"/>
  <c r="S148" i="17"/>
  <c r="S149" i="17"/>
  <c r="S150" i="17"/>
  <c r="S151" i="17"/>
  <c r="S598" i="17"/>
  <c r="S152" i="17"/>
  <c r="S599" i="17"/>
  <c r="S402" i="17"/>
  <c r="S403" i="17"/>
  <c r="S404" i="17"/>
  <c r="S405" i="17"/>
  <c r="S406" i="17"/>
  <c r="S407" i="17"/>
  <c r="S408" i="17"/>
  <c r="S409" i="17"/>
  <c r="S410" i="17"/>
  <c r="S411" i="17"/>
  <c r="S412" i="17"/>
  <c r="S413" i="17"/>
  <c r="S414" i="17"/>
  <c r="S415" i="17"/>
  <c r="S416" i="17"/>
  <c r="S417" i="17"/>
  <c r="S418" i="17"/>
  <c r="S419" i="17"/>
  <c r="S420" i="17"/>
  <c r="S421" i="17"/>
  <c r="S422" i="17"/>
  <c r="S423" i="17"/>
  <c r="S424" i="17"/>
  <c r="S587" i="17"/>
  <c r="S425" i="17"/>
  <c r="S426" i="17"/>
  <c r="S427" i="17"/>
  <c r="S428" i="17"/>
  <c r="S429" i="17"/>
  <c r="S603" i="17"/>
  <c r="S433" i="17"/>
  <c r="S434" i="17"/>
  <c r="S435" i="17"/>
  <c r="S436" i="17"/>
  <c r="S437" i="17"/>
  <c r="S438" i="17"/>
  <c r="S440" i="17"/>
  <c r="S441" i="17"/>
  <c r="S443" i="17"/>
  <c r="S444" i="17"/>
  <c r="S445" i="17"/>
  <c r="S446" i="17"/>
  <c r="S447" i="17"/>
  <c r="S448" i="17"/>
  <c r="S449" i="17"/>
  <c r="S450" i="17"/>
  <c r="S451" i="17"/>
  <c r="S452" i="17"/>
  <c r="S453" i="17"/>
  <c r="S454" i="17"/>
  <c r="S455" i="17"/>
  <c r="S456" i="17"/>
  <c r="S458" i="17"/>
  <c r="S570" i="17"/>
  <c r="S571" i="17"/>
  <c r="S572" i="17"/>
  <c r="S573" i="17"/>
  <c r="S574" i="17"/>
  <c r="S575" i="17"/>
  <c r="S576" i="17"/>
  <c r="S577" i="17"/>
  <c r="S578" i="17"/>
  <c r="S579" i="17"/>
  <c r="S580" i="17"/>
  <c r="S581" i="17"/>
  <c r="S582" i="17"/>
  <c r="S583" i="17"/>
  <c r="S461" i="17"/>
  <c r="S611" i="17"/>
  <c r="S462" i="17"/>
  <c r="S612" i="17"/>
  <c r="S463" i="17"/>
  <c r="S613" i="17"/>
  <c r="S464" i="17"/>
  <c r="S614" i="17"/>
  <c r="S467" i="17"/>
  <c r="S468" i="17"/>
  <c r="S469" i="17"/>
  <c r="S470" i="17"/>
  <c r="S471" i="17"/>
  <c r="S472" i="17"/>
  <c r="S473" i="17"/>
  <c r="S474" i="17"/>
  <c r="S476" i="17"/>
  <c r="S477" i="17"/>
  <c r="S478" i="17"/>
  <c r="S479" i="17"/>
  <c r="S480" i="17"/>
  <c r="S481" i="17"/>
  <c r="S482" i="17"/>
  <c r="S483" i="17"/>
  <c r="S485" i="17"/>
  <c r="S486" i="17"/>
  <c r="S487" i="17"/>
  <c r="S488" i="17"/>
  <c r="S489" i="17"/>
  <c r="S490" i="17"/>
  <c r="S491" i="17"/>
  <c r="S492" i="17"/>
  <c r="S497" i="17"/>
  <c r="S496" i="17"/>
  <c r="S541" i="17"/>
  <c r="S540" i="17"/>
  <c r="S539" i="17"/>
  <c r="S538" i="17"/>
  <c r="S537" i="17"/>
  <c r="S536" i="17"/>
  <c r="S535" i="17"/>
  <c r="S534" i="17"/>
  <c r="S533" i="17"/>
  <c r="S532" i="17"/>
  <c r="S531" i="17"/>
  <c r="S530" i="17"/>
  <c r="S529" i="17"/>
  <c r="S528" i="17"/>
  <c r="S527" i="17"/>
  <c r="S526" i="17"/>
  <c r="S525" i="17"/>
  <c r="S524" i="17"/>
  <c r="S523" i="17"/>
  <c r="S522" i="17"/>
  <c r="S521" i="17"/>
  <c r="S520" i="17"/>
  <c r="S519" i="17"/>
  <c r="S518" i="17"/>
  <c r="S517" i="17"/>
  <c r="S516" i="17"/>
  <c r="S515" i="17"/>
  <c r="S514" i="17"/>
  <c r="S513" i="17"/>
  <c r="S512" i="17"/>
  <c r="S511" i="17"/>
  <c r="S510" i="17"/>
  <c r="S509" i="17"/>
  <c r="S508" i="17"/>
  <c r="S507" i="17"/>
  <c r="S506" i="17"/>
  <c r="S505" i="17"/>
  <c r="S504" i="17"/>
  <c r="S503" i="17"/>
  <c r="S502" i="17"/>
  <c r="S501" i="17"/>
  <c r="S500" i="17"/>
  <c r="S499" i="17"/>
  <c r="S498" i="17"/>
  <c r="S252" i="17"/>
  <c r="S277" i="17"/>
  <c r="S280" i="17"/>
  <c r="S201" i="17"/>
  <c r="S232" i="17"/>
  <c r="S235" i="17"/>
  <c r="S237" i="17"/>
  <c r="V635" i="17" l="1"/>
  <c r="V636" i="17"/>
  <c r="P637" i="17"/>
  <c r="V632" i="17"/>
  <c r="P631" i="17"/>
  <c r="P630" i="17"/>
  <c r="V629" i="17"/>
  <c r="P628" i="17"/>
  <c r="P626" i="17"/>
  <c r="P627" i="17"/>
  <c r="V625" i="17"/>
  <c r="V624" i="17"/>
  <c r="D149" i="40"/>
  <c r="D150" i="40"/>
  <c r="D294" i="40"/>
  <c r="D297" i="40"/>
  <c r="D301" i="40"/>
  <c r="J64" i="40"/>
  <c r="Q237" i="17"/>
  <c r="P237" i="17" s="1"/>
  <c r="R237" i="17"/>
  <c r="Y237" i="17"/>
  <c r="Q222" i="17"/>
  <c r="P222" i="17" s="1"/>
  <c r="R222" i="17"/>
  <c r="Y222" i="17"/>
  <c r="V223" i="17"/>
  <c r="Y223" i="17"/>
  <c r="Q235" i="17"/>
  <c r="V235" i="17" s="1"/>
  <c r="R235" i="17"/>
  <c r="Y235" i="17"/>
  <c r="F7" i="17"/>
  <c r="AF2" i="26"/>
  <c r="K13" i="41"/>
  <c r="J13" i="41"/>
  <c r="J12" i="41"/>
  <c r="K12" i="41"/>
  <c r="E13" i="41"/>
  <c r="J8" i="40"/>
  <c r="J9" i="40"/>
  <c r="J10" i="40"/>
  <c r="J11" i="40"/>
  <c r="J12" i="40"/>
  <c r="J13" i="40"/>
  <c r="J14" i="40"/>
  <c r="J15" i="40"/>
  <c r="J16" i="40"/>
  <c r="J17" i="40"/>
  <c r="J18" i="40"/>
  <c r="J19" i="40"/>
  <c r="J20" i="40"/>
  <c r="J21" i="40"/>
  <c r="J22" i="40"/>
  <c r="J23" i="40"/>
  <c r="J24" i="40"/>
  <c r="J25" i="40"/>
  <c r="J26" i="40"/>
  <c r="J27" i="40"/>
  <c r="J28" i="40"/>
  <c r="J29" i="40"/>
  <c r="J30" i="40"/>
  <c r="J31" i="40"/>
  <c r="J32" i="40"/>
  <c r="J33" i="40"/>
  <c r="J34" i="40"/>
  <c r="J35" i="40"/>
  <c r="J36" i="40"/>
  <c r="J37" i="40"/>
  <c r="J38" i="40"/>
  <c r="J39" i="40"/>
  <c r="J40" i="40"/>
  <c r="J41" i="40"/>
  <c r="J42" i="40"/>
  <c r="J43" i="40"/>
  <c r="J44" i="40"/>
  <c r="J45" i="40"/>
  <c r="J46" i="40"/>
  <c r="J47" i="40"/>
  <c r="J48" i="40"/>
  <c r="J49" i="40"/>
  <c r="J50" i="40"/>
  <c r="J51" i="40"/>
  <c r="J52" i="40"/>
  <c r="J53" i="40"/>
  <c r="J54" i="40"/>
  <c r="J55" i="40"/>
  <c r="J56" i="40"/>
  <c r="J57" i="40"/>
  <c r="J58" i="40"/>
  <c r="J59" i="40"/>
  <c r="J60" i="40"/>
  <c r="J61" i="40"/>
  <c r="J62" i="40"/>
  <c r="J63" i="40"/>
  <c r="J65" i="40"/>
  <c r="J66" i="40"/>
  <c r="J67" i="40"/>
  <c r="J68" i="40"/>
  <c r="J69" i="40"/>
  <c r="J70" i="40"/>
  <c r="J71" i="40"/>
  <c r="J72" i="40"/>
  <c r="J73" i="40"/>
  <c r="J74" i="40"/>
  <c r="J75" i="40"/>
  <c r="J76" i="40"/>
  <c r="J77" i="40"/>
  <c r="J78" i="40"/>
  <c r="J79" i="40"/>
  <c r="J80" i="40"/>
  <c r="J81" i="40"/>
  <c r="J82" i="40"/>
  <c r="J83" i="40"/>
  <c r="J84" i="40"/>
  <c r="J85" i="40"/>
  <c r="J86" i="40"/>
  <c r="J87" i="40"/>
  <c r="J88" i="40"/>
  <c r="J89" i="40"/>
  <c r="J90" i="40"/>
  <c r="J91" i="40"/>
  <c r="J92" i="40"/>
  <c r="J93" i="40"/>
  <c r="J94" i="40"/>
  <c r="J95" i="40"/>
  <c r="J96" i="40"/>
  <c r="J97" i="40"/>
  <c r="J98" i="40"/>
  <c r="J99" i="40"/>
  <c r="J100" i="40"/>
  <c r="J101" i="40"/>
  <c r="J102" i="40"/>
  <c r="J103" i="40"/>
  <c r="J104" i="40"/>
  <c r="J105" i="40"/>
  <c r="J106" i="40"/>
  <c r="J107" i="40"/>
  <c r="J108" i="40"/>
  <c r="J109" i="40"/>
  <c r="J110" i="40"/>
  <c r="J111" i="40"/>
  <c r="J112" i="40"/>
  <c r="J113" i="40"/>
  <c r="J114" i="40"/>
  <c r="J115" i="40"/>
  <c r="J116" i="40"/>
  <c r="J117" i="40"/>
  <c r="J118" i="40"/>
  <c r="J119" i="40"/>
  <c r="J120" i="40"/>
  <c r="J121" i="40"/>
  <c r="J122" i="40"/>
  <c r="J123" i="40"/>
  <c r="J124" i="40"/>
  <c r="J125" i="40"/>
  <c r="J126" i="40"/>
  <c r="J127" i="40"/>
  <c r="J128" i="40"/>
  <c r="J129" i="40"/>
  <c r="J130" i="40"/>
  <c r="J131" i="40"/>
  <c r="J132" i="40"/>
  <c r="J133" i="40"/>
  <c r="J134" i="40"/>
  <c r="J135" i="40"/>
  <c r="J136" i="40"/>
  <c r="J137" i="40"/>
  <c r="J138" i="40"/>
  <c r="J139" i="40"/>
  <c r="J140" i="40"/>
  <c r="J141" i="40"/>
  <c r="J142" i="40"/>
  <c r="J143" i="40"/>
  <c r="J144" i="40"/>
  <c r="J145" i="40"/>
  <c r="J146" i="40"/>
  <c r="J147" i="40"/>
  <c r="J148" i="40"/>
  <c r="J149" i="40"/>
  <c r="J150" i="40"/>
  <c r="J151" i="40"/>
  <c r="J152" i="40"/>
  <c r="J153" i="40"/>
  <c r="J154" i="40"/>
  <c r="J155" i="40"/>
  <c r="J156" i="40"/>
  <c r="J157" i="40"/>
  <c r="J158" i="40"/>
  <c r="J159" i="40"/>
  <c r="J160" i="40"/>
  <c r="J161" i="40"/>
  <c r="J162" i="40"/>
  <c r="J163" i="40"/>
  <c r="J164" i="40"/>
  <c r="J165" i="40"/>
  <c r="J166" i="40"/>
  <c r="J167" i="40"/>
  <c r="J168" i="40"/>
  <c r="J169" i="40"/>
  <c r="J170" i="40"/>
  <c r="J171" i="40"/>
  <c r="J172" i="40"/>
  <c r="J173" i="40"/>
  <c r="J174" i="40"/>
  <c r="J175" i="40"/>
  <c r="J176" i="40"/>
  <c r="J177" i="40"/>
  <c r="J178" i="40"/>
  <c r="J179" i="40"/>
  <c r="J180" i="40"/>
  <c r="J181" i="40"/>
  <c r="J182" i="40"/>
  <c r="J183" i="40"/>
  <c r="J184" i="40"/>
  <c r="J185" i="40"/>
  <c r="J186" i="40"/>
  <c r="J188" i="40"/>
  <c r="J190" i="40"/>
  <c r="J290" i="40"/>
  <c r="J291" i="40"/>
  <c r="J191" i="40"/>
  <c r="J193" i="40"/>
  <c r="J194" i="40"/>
  <c r="J195" i="40"/>
  <c r="J196" i="40"/>
  <c r="J197" i="40"/>
  <c r="J198" i="40"/>
  <c r="J199" i="40"/>
  <c r="J200" i="40"/>
  <c r="J201" i="40"/>
  <c r="J202" i="40"/>
  <c r="J203" i="40"/>
  <c r="J204" i="40"/>
  <c r="J205" i="40"/>
  <c r="J206" i="40"/>
  <c r="J207" i="40"/>
  <c r="J208" i="40"/>
  <c r="J209" i="40"/>
  <c r="J210" i="40"/>
  <c r="J211" i="40"/>
  <c r="J212" i="40"/>
  <c r="J213" i="40"/>
  <c r="J214" i="40"/>
  <c r="J215" i="40"/>
  <c r="J216" i="40"/>
  <c r="J217" i="40"/>
  <c r="J218" i="40"/>
  <c r="J219" i="40"/>
  <c r="J220" i="40"/>
  <c r="J221" i="40"/>
  <c r="J222" i="40"/>
  <c r="J223" i="40"/>
  <c r="J224" i="40"/>
  <c r="J225" i="40"/>
  <c r="J226" i="40"/>
  <c r="J227" i="40"/>
  <c r="J228" i="40"/>
  <c r="J229" i="40"/>
  <c r="J230" i="40"/>
  <c r="J231" i="40"/>
  <c r="J232" i="40"/>
  <c r="J233" i="40"/>
  <c r="J234" i="40"/>
  <c r="J235" i="40"/>
  <c r="J236" i="40"/>
  <c r="J237" i="40"/>
  <c r="J238" i="40"/>
  <c r="J239" i="40"/>
  <c r="J240" i="40"/>
  <c r="J241" i="40"/>
  <c r="J242" i="40"/>
  <c r="J243" i="40"/>
  <c r="J244" i="40"/>
  <c r="J245" i="40"/>
  <c r="J246" i="40"/>
  <c r="J247" i="40"/>
  <c r="J248" i="40"/>
  <c r="J249" i="40"/>
  <c r="J250" i="40"/>
  <c r="J251" i="40"/>
  <c r="J252" i="40"/>
  <c r="J253" i="40"/>
  <c r="J254" i="40"/>
  <c r="J255" i="40"/>
  <c r="J256" i="40"/>
  <c r="J257" i="40"/>
  <c r="J258" i="40"/>
  <c r="J259" i="40"/>
  <c r="J260" i="40"/>
  <c r="J261" i="40"/>
  <c r="J262" i="40"/>
  <c r="J263" i="40"/>
  <c r="J264" i="40"/>
  <c r="J265" i="40"/>
  <c r="J266" i="40"/>
  <c r="J267" i="40"/>
  <c r="J268" i="40"/>
  <c r="J269" i="40"/>
  <c r="J270" i="40"/>
  <c r="J271" i="40"/>
  <c r="J272" i="40"/>
  <c r="J273" i="40"/>
  <c r="J274" i="40"/>
  <c r="J275" i="40"/>
  <c r="J276" i="40"/>
  <c r="J277" i="40"/>
  <c r="J278" i="40"/>
  <c r="J279" i="40"/>
  <c r="J280" i="40"/>
  <c r="J281" i="40"/>
  <c r="J282" i="40"/>
  <c r="J283" i="40"/>
  <c r="J284" i="40"/>
  <c r="J285" i="40"/>
  <c r="J286" i="40"/>
  <c r="J287" i="40"/>
  <c r="J288" i="40"/>
  <c r="J289" i="40"/>
  <c r="J292" i="40"/>
  <c r="J293" i="40"/>
  <c r="J294" i="40"/>
  <c r="J297" i="40"/>
  <c r="J301" i="40"/>
  <c r="J295" i="40"/>
  <c r="J296" i="40"/>
  <c r="J187" i="40"/>
  <c r="J298" i="40"/>
  <c r="J299" i="40"/>
  <c r="J300" i="40"/>
  <c r="P13" i="41"/>
  <c r="O13" i="41"/>
  <c r="N13" i="41"/>
  <c r="M13" i="41"/>
  <c r="L13" i="41"/>
  <c r="I13" i="41"/>
  <c r="P12" i="41"/>
  <c r="O12" i="41"/>
  <c r="N12" i="41"/>
  <c r="M12" i="41"/>
  <c r="L12" i="41"/>
  <c r="I12" i="41"/>
  <c r="E12" i="41"/>
  <c r="J4" i="40"/>
  <c r="J3" i="40"/>
  <c r="N7" i="17"/>
  <c r="M7" i="17"/>
  <c r="L7" i="17"/>
  <c r="J7" i="17"/>
  <c r="I7" i="17"/>
  <c r="H7" i="17"/>
  <c r="B7" i="17"/>
  <c r="K7" i="17"/>
  <c r="J5" i="40" l="1"/>
  <c r="V237" i="17"/>
  <c r="P235" i="17"/>
  <c r="V222" i="17"/>
  <c r="K14" i="41"/>
  <c r="AF6" i="26" s="1"/>
  <c r="I14" i="41"/>
  <c r="J14" i="41"/>
  <c r="O14" i="41"/>
  <c r="AF8" i="26" s="1"/>
  <c r="L14" i="41"/>
  <c r="M14" i="41"/>
  <c r="P14" i="41"/>
  <c r="AF9" i="26" s="1"/>
  <c r="N14" i="41"/>
  <c r="E14" i="41"/>
  <c r="AF7" i="26" l="1"/>
  <c r="AF5" i="26"/>
  <c r="Q623" i="17"/>
  <c r="V623" i="17" s="1"/>
  <c r="R623" i="17"/>
  <c r="Y623" i="17"/>
  <c r="P623" i="17" l="1"/>
  <c r="Y620" i="17" l="1"/>
  <c r="R620" i="17"/>
  <c r="Q620" i="17"/>
  <c r="P620" i="17" s="1"/>
  <c r="V620" i="17" l="1"/>
  <c r="Q619" i="17"/>
  <c r="V619" i="17" s="1"/>
  <c r="R619" i="17"/>
  <c r="Y619" i="17"/>
  <c r="Q617" i="17"/>
  <c r="V617" i="17" s="1"/>
  <c r="Q618" i="17"/>
  <c r="V618" i="17" s="1"/>
  <c r="R617" i="17"/>
  <c r="R618" i="17"/>
  <c r="Y617" i="17"/>
  <c r="Y618" i="17"/>
  <c r="Q616" i="17"/>
  <c r="P616" i="17" s="1"/>
  <c r="R616" i="17"/>
  <c r="Y616" i="17"/>
  <c r="Q615" i="17"/>
  <c r="P615" i="17" s="1"/>
  <c r="R615" i="17"/>
  <c r="Y615" i="17"/>
  <c r="Q593" i="17"/>
  <c r="P593" i="17" s="1"/>
  <c r="R593" i="17"/>
  <c r="Y593" i="17"/>
  <c r="Q610" i="17"/>
  <c r="P610" i="17" s="1"/>
  <c r="Q611" i="17"/>
  <c r="P611" i="17" s="1"/>
  <c r="Q612" i="17"/>
  <c r="P612" i="17" s="1"/>
  <c r="Q613" i="17"/>
  <c r="V613" i="17" s="1"/>
  <c r="Q614" i="17"/>
  <c r="P614" i="17" s="1"/>
  <c r="R610" i="17"/>
  <c r="R611" i="17"/>
  <c r="R612" i="17"/>
  <c r="R613" i="17"/>
  <c r="R614" i="17"/>
  <c r="Y610" i="17"/>
  <c r="Y611" i="17"/>
  <c r="Y612" i="17"/>
  <c r="Y613" i="17"/>
  <c r="Y614" i="17"/>
  <c r="Q42" i="17"/>
  <c r="P42" i="17" s="1"/>
  <c r="R42" i="17"/>
  <c r="Y42" i="17"/>
  <c r="C50" i="43" s="1"/>
  <c r="D75" i="37"/>
  <c r="H36" i="37"/>
  <c r="Q36" i="37"/>
  <c r="H37" i="37"/>
  <c r="Q37" i="37"/>
  <c r="H38" i="37"/>
  <c r="Q38" i="37"/>
  <c r="H39" i="37"/>
  <c r="Q39" i="37"/>
  <c r="H11" i="37"/>
  <c r="Q11" i="37"/>
  <c r="H12" i="37"/>
  <c r="Q12" i="37"/>
  <c r="H13" i="37"/>
  <c r="Q13" i="37"/>
  <c r="P619" i="17" l="1"/>
  <c r="P618" i="17"/>
  <c r="P617" i="17"/>
  <c r="V615" i="17"/>
  <c r="V593" i="17"/>
  <c r="V616" i="17"/>
  <c r="V610" i="17"/>
  <c r="V612" i="17"/>
  <c r="V611" i="17"/>
  <c r="V614" i="17"/>
  <c r="P613" i="17"/>
  <c r="V42" i="17"/>
  <c r="Y609" i="17"/>
  <c r="R609" i="17"/>
  <c r="Q609" i="17"/>
  <c r="V609" i="17" s="1"/>
  <c r="Y608" i="17"/>
  <c r="Q608" i="17"/>
  <c r="P608" i="17" s="1"/>
  <c r="R608" i="17"/>
  <c r="P609" i="17" l="1"/>
  <c r="V608" i="17"/>
  <c r="Y607" i="17"/>
  <c r="R607" i="17"/>
  <c r="Q607" i="17"/>
  <c r="V607" i="17" s="1"/>
  <c r="P607" i="17"/>
  <c r="R605" i="17" l="1"/>
  <c r="R606" i="17"/>
  <c r="Q605" i="17"/>
  <c r="P605" i="17" s="1"/>
  <c r="Q606" i="17"/>
  <c r="P606" i="17" s="1"/>
  <c r="Q604" i="17" l="1"/>
  <c r="P604" i="17" s="1"/>
  <c r="R604" i="17"/>
  <c r="Q10" i="37"/>
  <c r="H10" i="37"/>
  <c r="V604" i="17" l="1"/>
  <c r="G121" i="38"/>
  <c r="R209" i="17" l="1"/>
  <c r="R390" i="17"/>
  <c r="Q603" i="17"/>
  <c r="V603" i="17" s="1"/>
  <c r="R603" i="17"/>
  <c r="Y603" i="17"/>
  <c r="Q602" i="17"/>
  <c r="V602" i="17" s="1"/>
  <c r="R602" i="17"/>
  <c r="Y602" i="17"/>
  <c r="Q601" i="17"/>
  <c r="P601" i="17" s="1"/>
  <c r="R601" i="17"/>
  <c r="Y601" i="17"/>
  <c r="Y600" i="17"/>
  <c r="R600" i="17"/>
  <c r="Q600" i="17"/>
  <c r="V600" i="17" s="1"/>
  <c r="P603" i="17" l="1"/>
  <c r="P602" i="17"/>
  <c r="V601" i="17"/>
  <c r="P600" i="17"/>
  <c r="Q336" i="17"/>
  <c r="P336" i="17" s="1"/>
  <c r="R336" i="17"/>
  <c r="Y336" i="17"/>
  <c r="Q199" i="17"/>
  <c r="P199" i="17" s="1"/>
  <c r="R199" i="17"/>
  <c r="Y199" i="17"/>
  <c r="Q598" i="17"/>
  <c r="P598" i="17" s="1"/>
  <c r="Q599" i="17"/>
  <c r="V599" i="17" s="1"/>
  <c r="R598" i="17"/>
  <c r="R599" i="17"/>
  <c r="Y598" i="17"/>
  <c r="Y599" i="17"/>
  <c r="Q597" i="17"/>
  <c r="R597" i="17"/>
  <c r="Y597" i="17"/>
  <c r="Q596" i="17"/>
  <c r="V596" i="17" s="1"/>
  <c r="R596" i="17"/>
  <c r="Y596" i="17"/>
  <c r="V336" i="17" l="1"/>
  <c r="V199" i="17"/>
  <c r="P599" i="17"/>
  <c r="V598" i="17"/>
  <c r="V597" i="17"/>
  <c r="P597" i="17"/>
  <c r="P596" i="17"/>
  <c r="G116" i="38" l="1"/>
  <c r="G117" i="38"/>
  <c r="G74" i="38"/>
  <c r="G75" i="38"/>
  <c r="G119" i="38"/>
  <c r="G120" i="38"/>
  <c r="G76" i="38"/>
  <c r="G77" i="38"/>
  <c r="G78" i="38"/>
  <c r="G79" i="38"/>
  <c r="G80" i="38"/>
  <c r="G81" i="38"/>
  <c r="G82" i="38"/>
  <c r="G83" i="38"/>
  <c r="G84" i="38"/>
  <c r="G85" i="38"/>
  <c r="G86" i="38"/>
  <c r="G87" i="38"/>
  <c r="G88" i="38"/>
  <c r="G89" i="38"/>
  <c r="G90" i="38"/>
  <c r="G91" i="38"/>
  <c r="G92" i="38"/>
  <c r="G93" i="38"/>
  <c r="G94" i="38"/>
  <c r="G95" i="38"/>
  <c r="G96" i="38"/>
  <c r="G97" i="38"/>
  <c r="G98" i="38"/>
  <c r="G99" i="38"/>
  <c r="G118" i="38"/>
  <c r="G100" i="38"/>
  <c r="G101" i="38"/>
  <c r="G102" i="38"/>
  <c r="G103" i="38"/>
  <c r="G104" i="38"/>
  <c r="G105" i="38"/>
  <c r="G106" i="38"/>
  <c r="G107" i="38"/>
  <c r="G108" i="38"/>
  <c r="G109" i="38"/>
  <c r="G110" i="38"/>
  <c r="G111" i="38"/>
  <c r="G112" i="38"/>
  <c r="G113" i="38"/>
  <c r="G114" i="38"/>
  <c r="G115" i="38"/>
  <c r="G66" i="38"/>
  <c r="G67" i="38"/>
  <c r="G68" i="38"/>
  <c r="G69" i="38"/>
  <c r="G70" i="38"/>
  <c r="G71" i="38"/>
  <c r="G72" i="38"/>
  <c r="G73" i="38"/>
  <c r="Q595" i="17" l="1"/>
  <c r="V595" i="17" s="1"/>
  <c r="R595" i="17"/>
  <c r="Y595" i="17"/>
  <c r="C117" i="38" s="1"/>
  <c r="P595" i="17" l="1"/>
  <c r="Q592" i="17" l="1"/>
  <c r="V592" i="17" s="1"/>
  <c r="Q594" i="17"/>
  <c r="V594" i="17" s="1"/>
  <c r="R592" i="17"/>
  <c r="R594" i="17"/>
  <c r="Y592" i="17"/>
  <c r="Y594" i="17"/>
  <c r="C116" i="38" s="1"/>
  <c r="Q591" i="17"/>
  <c r="V591" i="17" s="1"/>
  <c r="R591" i="17"/>
  <c r="Y591" i="17"/>
  <c r="P594" i="17" l="1"/>
  <c r="P592" i="17"/>
  <c r="P591" i="17"/>
  <c r="Q590" i="17" l="1"/>
  <c r="V590" i="17" s="1"/>
  <c r="R590" i="17"/>
  <c r="Y590" i="17"/>
  <c r="G43" i="38"/>
  <c r="G44" i="38"/>
  <c r="G45" i="38"/>
  <c r="G46" i="38"/>
  <c r="G47" i="38"/>
  <c r="G48" i="38"/>
  <c r="G49" i="38"/>
  <c r="G50" i="38"/>
  <c r="G51" i="38"/>
  <c r="G52" i="38"/>
  <c r="G53" i="38"/>
  <c r="G54" i="38"/>
  <c r="G55" i="38"/>
  <c r="G56" i="38"/>
  <c r="G58" i="38"/>
  <c r="G59" i="38"/>
  <c r="G60" i="38"/>
  <c r="G61" i="38"/>
  <c r="G62" i="38"/>
  <c r="G63" i="38"/>
  <c r="G64" i="38"/>
  <c r="G65" i="38"/>
  <c r="P590" i="17" l="1"/>
  <c r="G32" i="38"/>
  <c r="G33" i="38"/>
  <c r="G34" i="38"/>
  <c r="G35" i="38"/>
  <c r="G36" i="38"/>
  <c r="G37" i="38"/>
  <c r="G38" i="38"/>
  <c r="G39" i="38"/>
  <c r="G40" i="38"/>
  <c r="G41" i="38"/>
  <c r="G42" i="38"/>
  <c r="G26" i="38"/>
  <c r="G27" i="38"/>
  <c r="G28" i="38"/>
  <c r="G29" i="38"/>
  <c r="G30" i="38"/>
  <c r="G31" i="38"/>
  <c r="G25" i="38"/>
  <c r="D7" i="38"/>
  <c r="D10" i="38" l="1"/>
  <c r="D2" i="38"/>
  <c r="Q15" i="37" l="1"/>
  <c r="Q14" i="37"/>
  <c r="Q16" i="37"/>
  <c r="Q53" i="37"/>
  <c r="Q17" i="37"/>
  <c r="Q19" i="37"/>
  <c r="Q20" i="37"/>
  <c r="Q21" i="37"/>
  <c r="Q18" i="37"/>
  <c r="Q22" i="37"/>
  <c r="Q23" i="37"/>
  <c r="Q24" i="37"/>
  <c r="Q25" i="37"/>
  <c r="Q26" i="37"/>
  <c r="Q51" i="37"/>
  <c r="Q27" i="37"/>
  <c r="Q40" i="37"/>
  <c r="Q41" i="37"/>
  <c r="Q42" i="37"/>
  <c r="Q43" i="37"/>
  <c r="Q44" i="37"/>
  <c r="Q45" i="37"/>
  <c r="Q46" i="37"/>
  <c r="Q47" i="37"/>
  <c r="Q48" i="37"/>
  <c r="Q49" i="37"/>
  <c r="Q50" i="37"/>
  <c r="Q32" i="37"/>
  <c r="Q56" i="37"/>
  <c r="Q54" i="37"/>
  <c r="Q55" i="37"/>
  <c r="Q28" i="37"/>
  <c r="Q29" i="37"/>
  <c r="Q30" i="37"/>
  <c r="Q33" i="37"/>
  <c r="Q65" i="37"/>
  <c r="Q62" i="37"/>
  <c r="Q63" i="37"/>
  <c r="Q57" i="37"/>
  <c r="Q67" i="37"/>
  <c r="Q34" i="37"/>
  <c r="Q35" i="37"/>
  <c r="Q66" i="37"/>
  <c r="Q58" i="37"/>
  <c r="Q64" i="37"/>
  <c r="Q52" i="37"/>
  <c r="Q61" i="37"/>
  <c r="Q59" i="37"/>
  <c r="Q68" i="37"/>
  <c r="Q69" i="37"/>
  <c r="Q70" i="37"/>
  <c r="Q71" i="37"/>
  <c r="Q72" i="37"/>
  <c r="Q73" i="37"/>
  <c r="Q74" i="37"/>
  <c r="Q9" i="37"/>
  <c r="Q589" i="17"/>
  <c r="V589" i="17" s="1"/>
  <c r="R589" i="17"/>
  <c r="Y589" i="17"/>
  <c r="Y588" i="17"/>
  <c r="Q587" i="17"/>
  <c r="P587" i="17" s="1"/>
  <c r="R587" i="17"/>
  <c r="Q588" i="17"/>
  <c r="V588" i="17" s="1"/>
  <c r="R588" i="17"/>
  <c r="P589" i="17" l="1"/>
  <c r="P588" i="17"/>
  <c r="H15" i="37" l="1"/>
  <c r="H52" i="37" l="1"/>
  <c r="H35" i="37"/>
  <c r="V225" i="17" l="1"/>
  <c r="Y225" i="17"/>
  <c r="H9" i="37"/>
  <c r="Y578" i="17"/>
  <c r="Y586" i="17"/>
  <c r="R586" i="17"/>
  <c r="Q586" i="17"/>
  <c r="V586" i="17" s="1"/>
  <c r="Y585" i="17"/>
  <c r="R585" i="17"/>
  <c r="Q585" i="17"/>
  <c r="V585" i="17" s="1"/>
  <c r="Y584" i="17"/>
  <c r="R584" i="17"/>
  <c r="Q584" i="17"/>
  <c r="V584" i="17" s="1"/>
  <c r="P584" i="17" l="1"/>
  <c r="P585" i="17"/>
  <c r="P586" i="17"/>
  <c r="Y577" i="17" l="1"/>
  <c r="Y579" i="17"/>
  <c r="Y580" i="17"/>
  <c r="R577" i="17"/>
  <c r="R578" i="17"/>
  <c r="R579" i="17"/>
  <c r="R580" i="17"/>
  <c r="Q577" i="17"/>
  <c r="V577" i="17" s="1"/>
  <c r="Q578" i="17"/>
  <c r="P578" i="17" s="1"/>
  <c r="Q579" i="17"/>
  <c r="P579" i="17" s="1"/>
  <c r="Q580" i="17"/>
  <c r="V580" i="17" s="1"/>
  <c r="Y571" i="17"/>
  <c r="Y572" i="17"/>
  <c r="Y573" i="17"/>
  <c r="Y574" i="17"/>
  <c r="R571" i="17"/>
  <c r="R572" i="17"/>
  <c r="R573" i="17"/>
  <c r="R574" i="17"/>
  <c r="Q571" i="17"/>
  <c r="P571" i="17" s="1"/>
  <c r="Q572" i="17"/>
  <c r="V572" i="17" s="1"/>
  <c r="Q573" i="17"/>
  <c r="V573" i="17" s="1"/>
  <c r="Q574" i="17"/>
  <c r="V574" i="17" s="1"/>
  <c r="Y575" i="17"/>
  <c r="R575" i="17"/>
  <c r="Q575" i="17"/>
  <c r="V575" i="17" s="1"/>
  <c r="Y570" i="17"/>
  <c r="R570" i="17"/>
  <c r="Q570" i="17"/>
  <c r="V570" i="17" s="1"/>
  <c r="Y576" i="17"/>
  <c r="R576" i="17"/>
  <c r="Q576" i="17"/>
  <c r="V576" i="17" s="1"/>
  <c r="Y581" i="17"/>
  <c r="R581" i="17"/>
  <c r="Q581" i="17"/>
  <c r="V581" i="17" s="1"/>
  <c r="Y582" i="17"/>
  <c r="R582" i="17"/>
  <c r="Q582" i="17"/>
  <c r="V582" i="17" s="1"/>
  <c r="Y583" i="17"/>
  <c r="R583" i="17"/>
  <c r="Q583" i="17"/>
  <c r="V583" i="17" s="1"/>
  <c r="H29" i="37"/>
  <c r="H28" i="37"/>
  <c r="H55" i="37"/>
  <c r="H54" i="37"/>
  <c r="H56" i="37"/>
  <c r="P575" i="17" l="1"/>
  <c r="P576" i="17"/>
  <c r="P583" i="17"/>
  <c r="P582" i="17"/>
  <c r="P580" i="17"/>
  <c r="V579" i="17"/>
  <c r="V578" i="17"/>
  <c r="P581" i="17"/>
  <c r="P577" i="17"/>
  <c r="P574" i="17"/>
  <c r="P573" i="17"/>
  <c r="P572" i="17"/>
  <c r="V571" i="17"/>
  <c r="P570" i="17"/>
  <c r="H69" i="37"/>
  <c r="H70" i="37"/>
  <c r="H71" i="37"/>
  <c r="H72" i="37"/>
  <c r="H73" i="37"/>
  <c r="H74" i="37"/>
  <c r="H45" i="37" l="1"/>
  <c r="H68" i="37"/>
  <c r="H59" i="37"/>
  <c r="H61" i="37"/>
  <c r="H34" i="37"/>
  <c r="H67" i="37"/>
  <c r="H57" i="37"/>
  <c r="H63" i="37"/>
  <c r="H62" i="37"/>
  <c r="H65" i="37"/>
  <c r="H33" i="37"/>
  <c r="H32" i="37"/>
  <c r="H50" i="37"/>
  <c r="H49" i="37"/>
  <c r="H48" i="37"/>
  <c r="H47" i="37"/>
  <c r="H46" i="37"/>
  <c r="H44" i="37"/>
  <c r="G43" i="37"/>
  <c r="H43" i="37" s="1"/>
  <c r="H42" i="37"/>
  <c r="H41" i="37"/>
  <c r="G40" i="37"/>
  <c r="H40" i="37" s="1"/>
  <c r="H27" i="37"/>
  <c r="H51" i="37"/>
  <c r="H26" i="37"/>
  <c r="H25" i="37"/>
  <c r="H24" i="37"/>
  <c r="H23" i="37"/>
  <c r="H22" i="37"/>
  <c r="H21" i="37"/>
  <c r="H20" i="37"/>
  <c r="H19" i="37"/>
  <c r="H17" i="37"/>
  <c r="H16" i="37"/>
  <c r="H53" i="37"/>
  <c r="H14" i="37"/>
  <c r="H75" i="37" l="1"/>
  <c r="E75" i="37" s="1"/>
  <c r="Y587" i="17" l="1"/>
  <c r="V587" i="17"/>
  <c r="Q139" i="17"/>
  <c r="R139" i="17"/>
  <c r="Y139" i="17"/>
  <c r="Y124" i="17"/>
  <c r="R124" i="17"/>
  <c r="Q124" i="17"/>
  <c r="D134" i="40" l="1"/>
  <c r="C132" i="43"/>
  <c r="C77" i="38"/>
  <c r="V124" i="17"/>
  <c r="P124" i="17"/>
  <c r="V139" i="17"/>
  <c r="P139" i="17"/>
  <c r="Y227" i="17" l="1"/>
  <c r="R227" i="17"/>
  <c r="Q227" i="17"/>
  <c r="V227" i="17" s="1"/>
  <c r="Y12" i="17"/>
  <c r="Y13" i="17"/>
  <c r="C11" i="43" s="1"/>
  <c r="Y14" i="17"/>
  <c r="Y15" i="17"/>
  <c r="C15" i="43" s="1"/>
  <c r="Y16" i="17"/>
  <c r="Y17" i="17"/>
  <c r="Y18" i="17"/>
  <c r="Y19" i="17"/>
  <c r="Y20" i="17"/>
  <c r="C20" i="43" s="1"/>
  <c r="Y21" i="17"/>
  <c r="Y22" i="17"/>
  <c r="Y23" i="17"/>
  <c r="C25" i="43" s="1"/>
  <c r="Y24" i="17"/>
  <c r="Y25" i="17"/>
  <c r="Y26" i="17"/>
  <c r="Y27" i="17"/>
  <c r="Y28" i="17"/>
  <c r="C30" i="38" s="1"/>
  <c r="Y29" i="17"/>
  <c r="Y30" i="17"/>
  <c r="Y31" i="17"/>
  <c r="Y32" i="17"/>
  <c r="Y33" i="17"/>
  <c r="Y34" i="17"/>
  <c r="Y35" i="17"/>
  <c r="Y36" i="17"/>
  <c r="Y37" i="17"/>
  <c r="Y38" i="17"/>
  <c r="C40" i="38" s="1"/>
  <c r="Y39" i="17"/>
  <c r="Y40" i="17"/>
  <c r="Y41" i="17"/>
  <c r="C49" i="43" s="1"/>
  <c r="Y43" i="17"/>
  <c r="Y44" i="17"/>
  <c r="Y45" i="17"/>
  <c r="Y46" i="17"/>
  <c r="Y47" i="17"/>
  <c r="Y48" i="17"/>
  <c r="Y49" i="17"/>
  <c r="Y50" i="17"/>
  <c r="Y51" i="17"/>
  <c r="Y52" i="17"/>
  <c r="Y53" i="17"/>
  <c r="Y54" i="17"/>
  <c r="Y55" i="17"/>
  <c r="Y56" i="17"/>
  <c r="Y57" i="17"/>
  <c r="Y58" i="17"/>
  <c r="Y59" i="17"/>
  <c r="Y60" i="17"/>
  <c r="Y61" i="17"/>
  <c r="Y62" i="17"/>
  <c r="Y63" i="17"/>
  <c r="C71" i="43" s="1"/>
  <c r="Y64" i="17"/>
  <c r="Y65" i="17"/>
  <c r="C73" i="43" s="1"/>
  <c r="Y66" i="17"/>
  <c r="Y67" i="17"/>
  <c r="Y68" i="17"/>
  <c r="Y69" i="17"/>
  <c r="Y70" i="17"/>
  <c r="Y71" i="17"/>
  <c r="Y72" i="17"/>
  <c r="Y73" i="17"/>
  <c r="Y74" i="17"/>
  <c r="Y75" i="17"/>
  <c r="C68" i="38" s="1"/>
  <c r="Y76" i="17"/>
  <c r="Y77" i="17"/>
  <c r="Y78" i="17"/>
  <c r="Y621" i="17"/>
  <c r="Y79" i="17"/>
  <c r="Y80" i="17"/>
  <c r="Y81" i="17"/>
  <c r="Y82" i="17"/>
  <c r="Y83" i="17"/>
  <c r="Y84" i="17"/>
  <c r="Y85" i="17"/>
  <c r="Y86" i="17"/>
  <c r="Y87" i="17"/>
  <c r="Y88" i="17"/>
  <c r="Y89" i="17"/>
  <c r="D100" i="40" s="1"/>
  <c r="Y90" i="17"/>
  <c r="Y91" i="17"/>
  <c r="Y92" i="17"/>
  <c r="Y93" i="17"/>
  <c r="Y94" i="17"/>
  <c r="Y95" i="17"/>
  <c r="Y97" i="17"/>
  <c r="Y98" i="17"/>
  <c r="Y99" i="17"/>
  <c r="Y100" i="17"/>
  <c r="Y101" i="17"/>
  <c r="Y102" i="17"/>
  <c r="Y103" i="17"/>
  <c r="Y104" i="17"/>
  <c r="Y105" i="17"/>
  <c r="Y106" i="17"/>
  <c r="Y107" i="17"/>
  <c r="Y108" i="17"/>
  <c r="Y109" i="17"/>
  <c r="Y110" i="17"/>
  <c r="Y111" i="17"/>
  <c r="Y112" i="17"/>
  <c r="Y113" i="17"/>
  <c r="Y114" i="17"/>
  <c r="Y115" i="17"/>
  <c r="C124" i="43" s="1"/>
  <c r="Y116" i="17"/>
  <c r="Y117" i="17"/>
  <c r="Y118" i="17"/>
  <c r="Y119" i="17"/>
  <c r="Y120" i="17"/>
  <c r="Y121" i="17"/>
  <c r="D132" i="40" s="1"/>
  <c r="Y122" i="17"/>
  <c r="Y123" i="17"/>
  <c r="Y125" i="17"/>
  <c r="Y126" i="17"/>
  <c r="Y127" i="17"/>
  <c r="Y128" i="17"/>
  <c r="Y129" i="17"/>
  <c r="Y130" i="17"/>
  <c r="Y131" i="17"/>
  <c r="Y132" i="17"/>
  <c r="Y133" i="17"/>
  <c r="Y134" i="17"/>
  <c r="Y135" i="17"/>
  <c r="C138" i="43" s="1"/>
  <c r="Y136" i="17"/>
  <c r="Y137" i="17"/>
  <c r="Y138" i="17"/>
  <c r="Y140" i="17"/>
  <c r="D140" i="40" s="1"/>
  <c r="Y141" i="17"/>
  <c r="Y142" i="17"/>
  <c r="Y143" i="17"/>
  <c r="Y144" i="17"/>
  <c r="Y145" i="17"/>
  <c r="Y146" i="17"/>
  <c r="Y147" i="17"/>
  <c r="Y148" i="17"/>
  <c r="Y149" i="17"/>
  <c r="Y150" i="17"/>
  <c r="Y151" i="17"/>
  <c r="C140" i="43" s="1"/>
  <c r="Y152" i="17"/>
  <c r="Y153" i="17"/>
  <c r="Y154" i="17"/>
  <c r="C142" i="43" s="1"/>
  <c r="Y157" i="17"/>
  <c r="Y158" i="17"/>
  <c r="C145" i="43" s="1"/>
  <c r="Y183" i="17"/>
  <c r="Y184" i="17"/>
  <c r="Y185" i="17"/>
  <c r="C148" i="43" s="1"/>
  <c r="Y186" i="17"/>
  <c r="Y187" i="17"/>
  <c r="Y188" i="17"/>
  <c r="Y189" i="17"/>
  <c r="Y190" i="17"/>
  <c r="Y191" i="17"/>
  <c r="Y192" i="17"/>
  <c r="Y193" i="17"/>
  <c r="Y194" i="17"/>
  <c r="Y622" i="17"/>
  <c r="Y195" i="17"/>
  <c r="Y196" i="17"/>
  <c r="Y197" i="17"/>
  <c r="Y198" i="17"/>
  <c r="Y200" i="17"/>
  <c r="C87" i="38" s="1"/>
  <c r="Y201" i="17"/>
  <c r="Y202" i="17"/>
  <c r="Y203" i="17"/>
  <c r="Y204" i="17"/>
  <c r="Y205" i="17"/>
  <c r="Y206" i="17"/>
  <c r="D172" i="40" s="1"/>
  <c r="Y207" i="17"/>
  <c r="Y208" i="17"/>
  <c r="Y209" i="17"/>
  <c r="Y210" i="17"/>
  <c r="Y211" i="17"/>
  <c r="Y212" i="17"/>
  <c r="Y213" i="17"/>
  <c r="D176" i="40" s="1"/>
  <c r="Y214" i="17"/>
  <c r="Y215" i="17"/>
  <c r="Y216" i="17"/>
  <c r="Y217" i="17"/>
  <c r="Y218" i="17"/>
  <c r="Y219" i="17"/>
  <c r="Y220" i="17"/>
  <c r="D183" i="40" s="1"/>
  <c r="Y221" i="17"/>
  <c r="D184" i="40" s="1"/>
  <c r="Y224" i="17"/>
  <c r="Y226" i="17"/>
  <c r="Y228" i="17"/>
  <c r="Y229" i="17"/>
  <c r="Y230" i="17"/>
  <c r="Y231" i="17"/>
  <c r="Y232" i="17"/>
  <c r="Y233" i="17"/>
  <c r="Y234" i="17"/>
  <c r="Y236" i="17"/>
  <c r="Y238" i="17"/>
  <c r="C185" i="43" s="1"/>
  <c r="Y239" i="17"/>
  <c r="Y240" i="17"/>
  <c r="Y241" i="17"/>
  <c r="Y242" i="17"/>
  <c r="Y243" i="17"/>
  <c r="Y244" i="17"/>
  <c r="Y245" i="17"/>
  <c r="Y246" i="17"/>
  <c r="Y247" i="17"/>
  <c r="Y248" i="17"/>
  <c r="Y249" i="17"/>
  <c r="Y250" i="17"/>
  <c r="Y251" i="17"/>
  <c r="Y252" i="17"/>
  <c r="Y253" i="17"/>
  <c r="Y254" i="17"/>
  <c r="Y255" i="17"/>
  <c r="Y256" i="17"/>
  <c r="Y257" i="17"/>
  <c r="Y258" i="17"/>
  <c r="Y259" i="17"/>
  <c r="Y260" i="17"/>
  <c r="Y261" i="17"/>
  <c r="Y262" i="17"/>
  <c r="Y263" i="17"/>
  <c r="Y264" i="17"/>
  <c r="Y265" i="17"/>
  <c r="Y266" i="17"/>
  <c r="Y267" i="17"/>
  <c r="Y268" i="17"/>
  <c r="Y269" i="17"/>
  <c r="Y270" i="17"/>
  <c r="Y271" i="17"/>
  <c r="Y272" i="17"/>
  <c r="Y273" i="17"/>
  <c r="Y274" i="17"/>
  <c r="Y275" i="17"/>
  <c r="Y276" i="17"/>
  <c r="Y277" i="17"/>
  <c r="Y278" i="17"/>
  <c r="Y279" i="17"/>
  <c r="Y280" i="17"/>
  <c r="Y281" i="17"/>
  <c r="Y282" i="17"/>
  <c r="Y283" i="17"/>
  <c r="Y284" i="17"/>
  <c r="Y285" i="17"/>
  <c r="Y286" i="17"/>
  <c r="Y287" i="17"/>
  <c r="Y288" i="17"/>
  <c r="Y289" i="17"/>
  <c r="Y290" i="17"/>
  <c r="Y291" i="17"/>
  <c r="Y292" i="17"/>
  <c r="Y293" i="17"/>
  <c r="Y294" i="17"/>
  <c r="Y295" i="17"/>
  <c r="Y296" i="17"/>
  <c r="Y297" i="17"/>
  <c r="Y298" i="17"/>
  <c r="Y299" i="17"/>
  <c r="Y300" i="17"/>
  <c r="Y301" i="17"/>
  <c r="C186" i="43" s="1"/>
  <c r="Y302" i="17"/>
  <c r="Y303" i="17"/>
  <c r="Y304" i="17"/>
  <c r="Y305" i="17"/>
  <c r="Y306" i="17"/>
  <c r="Y307" i="17"/>
  <c r="Y308" i="17"/>
  <c r="Y309" i="17"/>
  <c r="Y310" i="17"/>
  <c r="Y311" i="17"/>
  <c r="Y312" i="17"/>
  <c r="Y313" i="17"/>
  <c r="Y314" i="17"/>
  <c r="Y315" i="17"/>
  <c r="Y316" i="17"/>
  <c r="Y317" i="17"/>
  <c r="Y318" i="17"/>
  <c r="Y319" i="17"/>
  <c r="Y320" i="17"/>
  <c r="Y321" i="17"/>
  <c r="Y322" i="17"/>
  <c r="Y323" i="17"/>
  <c r="Y324" i="17"/>
  <c r="Y325" i="17"/>
  <c r="Y326" i="17"/>
  <c r="Y327" i="17"/>
  <c r="C187" i="43" s="1"/>
  <c r="Y328" i="17"/>
  <c r="Y329" i="17"/>
  <c r="Y330" i="17"/>
  <c r="Y331" i="17"/>
  <c r="Y332" i="17"/>
  <c r="C188" i="43" s="1"/>
  <c r="Y333" i="17"/>
  <c r="Y334" i="17"/>
  <c r="Y335" i="17"/>
  <c r="C189" i="43" s="1"/>
  <c r="Y337" i="17"/>
  <c r="Y338" i="17"/>
  <c r="Y339" i="17"/>
  <c r="Y340" i="17"/>
  <c r="C92" i="38" s="1"/>
  <c r="Y341" i="17"/>
  <c r="Y342" i="17"/>
  <c r="Y343" i="17"/>
  <c r="C94" i="38" s="1"/>
  <c r="Y344" i="17"/>
  <c r="D290" i="40" s="1"/>
  <c r="Y345" i="17"/>
  <c r="Y346" i="17"/>
  <c r="Y347" i="17"/>
  <c r="Y348" i="17"/>
  <c r="Y349" i="17"/>
  <c r="Y350" i="17"/>
  <c r="Y351" i="17"/>
  <c r="Y352" i="17"/>
  <c r="Y353" i="17"/>
  <c r="Y354" i="17"/>
  <c r="Y355" i="17"/>
  <c r="Y356" i="17"/>
  <c r="Y357" i="17"/>
  <c r="Y358" i="17"/>
  <c r="Y359" i="17"/>
  <c r="Y360" i="17"/>
  <c r="Y361" i="17"/>
  <c r="Y362" i="17"/>
  <c r="Y363" i="17"/>
  <c r="Y364" i="17"/>
  <c r="Y365" i="17"/>
  <c r="Y366" i="17"/>
  <c r="Y367" i="17"/>
  <c r="D291" i="40" s="1"/>
  <c r="Y368" i="17"/>
  <c r="Y369" i="17"/>
  <c r="Y370" i="17"/>
  <c r="Y371" i="17"/>
  <c r="Y372" i="17"/>
  <c r="C193" i="43" s="1"/>
  <c r="Y373" i="17"/>
  <c r="Y374" i="17"/>
  <c r="Y375" i="17"/>
  <c r="Y376" i="17"/>
  <c r="Y377" i="17"/>
  <c r="Y378" i="17"/>
  <c r="Y379" i="17"/>
  <c r="Y380" i="17"/>
  <c r="Y381" i="17"/>
  <c r="Y382" i="17"/>
  <c r="Y383" i="17"/>
  <c r="Y384" i="17"/>
  <c r="Y385" i="17"/>
  <c r="Y386" i="17"/>
  <c r="Y387" i="17"/>
  <c r="Y388" i="17"/>
  <c r="Y389" i="17"/>
  <c r="Y390" i="17"/>
  <c r="Y391" i="17"/>
  <c r="Y392" i="17"/>
  <c r="Y393" i="17"/>
  <c r="Y394" i="17"/>
  <c r="Y395" i="17"/>
  <c r="Y396" i="17"/>
  <c r="Y397" i="17"/>
  <c r="Y398" i="17"/>
  <c r="Y399" i="17"/>
  <c r="C203" i="43" s="1"/>
  <c r="Y401" i="17"/>
  <c r="Y402" i="17"/>
  <c r="Y403" i="17"/>
  <c r="Y404" i="17"/>
  <c r="Y405" i="17"/>
  <c r="Y406" i="17"/>
  <c r="Y407" i="17"/>
  <c r="Y408" i="17"/>
  <c r="Y409" i="17"/>
  <c r="Y410" i="17"/>
  <c r="Y411" i="17"/>
  <c r="Y412" i="17"/>
  <c r="Y413" i="17"/>
  <c r="Y414" i="17"/>
  <c r="Y415" i="17"/>
  <c r="Y416" i="17"/>
  <c r="Y417" i="17"/>
  <c r="Y418" i="17"/>
  <c r="Y419" i="17"/>
  <c r="Y420" i="17"/>
  <c r="Y421" i="17"/>
  <c r="Y422" i="17"/>
  <c r="Y423" i="17"/>
  <c r="Y424" i="17"/>
  <c r="Y425" i="17"/>
  <c r="Y426" i="17"/>
  <c r="Y427" i="17"/>
  <c r="Y428" i="17"/>
  <c r="Y429" i="17"/>
  <c r="Y430" i="17"/>
  <c r="Y431" i="17"/>
  <c r="C223" i="43" s="1"/>
  <c r="Y432" i="17"/>
  <c r="C224" i="43" s="1"/>
  <c r="Y433" i="17"/>
  <c r="Y434" i="17"/>
  <c r="Y435" i="17"/>
  <c r="Y436" i="17"/>
  <c r="Y437" i="17"/>
  <c r="Y438" i="17"/>
  <c r="Y439" i="17"/>
  <c r="C225" i="43" s="1"/>
  <c r="Y440" i="17"/>
  <c r="Y441" i="17"/>
  <c r="Y442" i="17"/>
  <c r="C226" i="43" s="1"/>
  <c r="Y443" i="17"/>
  <c r="Y444" i="17"/>
  <c r="Y445" i="17"/>
  <c r="Y446" i="17"/>
  <c r="Y447" i="17"/>
  <c r="Y448" i="17"/>
  <c r="Y449" i="17"/>
  <c r="Y450" i="17"/>
  <c r="Y451" i="17"/>
  <c r="Y452" i="17"/>
  <c r="Y453" i="17"/>
  <c r="Y454" i="17"/>
  <c r="Y455" i="17"/>
  <c r="Y456" i="17"/>
  <c r="Y457" i="17"/>
  <c r="C227" i="43" s="1"/>
  <c r="Y458" i="17"/>
  <c r="Y459" i="17"/>
  <c r="C228" i="43" s="1"/>
  <c r="Y460" i="17"/>
  <c r="C229" i="43" s="1"/>
  <c r="Y461" i="17"/>
  <c r="Y462" i="17"/>
  <c r="Y463" i="17"/>
  <c r="Y464" i="17"/>
  <c r="Y465" i="17"/>
  <c r="Y466" i="17"/>
  <c r="Y467" i="17"/>
  <c r="Y468" i="17"/>
  <c r="Y469" i="17"/>
  <c r="Y470" i="17"/>
  <c r="Y471" i="17"/>
  <c r="Y472" i="17"/>
  <c r="Y473" i="17"/>
  <c r="Y474" i="17"/>
  <c r="Y475" i="17"/>
  <c r="Y476" i="17"/>
  <c r="Y477" i="17"/>
  <c r="Y478" i="17"/>
  <c r="Y479" i="17"/>
  <c r="Y480" i="17"/>
  <c r="Y481" i="17"/>
  <c r="Y482" i="17"/>
  <c r="Y483" i="17"/>
  <c r="Y484" i="17"/>
  <c r="Y485" i="17"/>
  <c r="Y486" i="17"/>
  <c r="Y487" i="17"/>
  <c r="Y488" i="17"/>
  <c r="Y489" i="17"/>
  <c r="Y490" i="17"/>
  <c r="Y491" i="17"/>
  <c r="Y492" i="17"/>
  <c r="Y493" i="17"/>
  <c r="Y494" i="17"/>
  <c r="Y495" i="17"/>
  <c r="Y496" i="17"/>
  <c r="Y497" i="17"/>
  <c r="Y550" i="17"/>
  <c r="Y549" i="17"/>
  <c r="Y548" i="17"/>
  <c r="Y547" i="17"/>
  <c r="Y546" i="17"/>
  <c r="Y545" i="17"/>
  <c r="Y544" i="17"/>
  <c r="Y543" i="17"/>
  <c r="Y542" i="17"/>
  <c r="Y541" i="17"/>
  <c r="Y539" i="17"/>
  <c r="Y537" i="17"/>
  <c r="Y536" i="17"/>
  <c r="Y535" i="17"/>
  <c r="Y534" i="17"/>
  <c r="Y533" i="17"/>
  <c r="Y532" i="17"/>
  <c r="Y531" i="17"/>
  <c r="Y530" i="17"/>
  <c r="Y529" i="17"/>
  <c r="Y528" i="17"/>
  <c r="Y527" i="17"/>
  <c r="Y526" i="17"/>
  <c r="Y525" i="17"/>
  <c r="Y524" i="17"/>
  <c r="Y523" i="17"/>
  <c r="Y522" i="17"/>
  <c r="Y521" i="17"/>
  <c r="Y520" i="17"/>
  <c r="Y519" i="17"/>
  <c r="Y518" i="17"/>
  <c r="Y517" i="17"/>
  <c r="Y516" i="17"/>
  <c r="Y515" i="17"/>
  <c r="Y514" i="17"/>
  <c r="Y513" i="17"/>
  <c r="Y512" i="17"/>
  <c r="Y511" i="17"/>
  <c r="Y510" i="17"/>
  <c r="Y509" i="17"/>
  <c r="Y508" i="17"/>
  <c r="Y507" i="17"/>
  <c r="Y506" i="17"/>
  <c r="Y505" i="17"/>
  <c r="Y504" i="17"/>
  <c r="Y503" i="17"/>
  <c r="Y502" i="17"/>
  <c r="C296" i="43" s="1"/>
  <c r="Y501" i="17"/>
  <c r="Y500" i="17"/>
  <c r="Y499" i="17"/>
  <c r="Y498" i="17"/>
  <c r="Y160" i="17"/>
  <c r="C146" i="43" s="1"/>
  <c r="Y166" i="17"/>
  <c r="Y171" i="17"/>
  <c r="Y174" i="17"/>
  <c r="Y168" i="17"/>
  <c r="Y172" i="17"/>
  <c r="Y165" i="17"/>
  <c r="Y170" i="17"/>
  <c r="Y173" i="17"/>
  <c r="Y167" i="17"/>
  <c r="Y175" i="17"/>
  <c r="Y169" i="17"/>
  <c r="Y176" i="17"/>
  <c r="Y177" i="17"/>
  <c r="Y178" i="17"/>
  <c r="Y179" i="17"/>
  <c r="Y180" i="17"/>
  <c r="Y181" i="17"/>
  <c r="Y182" i="17"/>
  <c r="Y161" i="17"/>
  <c r="Y163" i="17"/>
  <c r="Y164" i="17"/>
  <c r="Y162" i="17"/>
  <c r="Y551" i="17"/>
  <c r="C301" i="43" s="1"/>
  <c r="Y552" i="17"/>
  <c r="Y553" i="17"/>
  <c r="Y554" i="17"/>
  <c r="Y555" i="17"/>
  <c r="Y556" i="17"/>
  <c r="Y557" i="17"/>
  <c r="Y558" i="17"/>
  <c r="Y559" i="17"/>
  <c r="Y560" i="17"/>
  <c r="Y561" i="17"/>
  <c r="Y562" i="17"/>
  <c r="Y563" i="17"/>
  <c r="Y564" i="17"/>
  <c r="Y565" i="17"/>
  <c r="Y566" i="17"/>
  <c r="Y567" i="17"/>
  <c r="Y568" i="17"/>
  <c r="Y569" i="17"/>
  <c r="Y96" i="17"/>
  <c r="Y400" i="17"/>
  <c r="Y155" i="17"/>
  <c r="Y156" i="17"/>
  <c r="Y159" i="17"/>
  <c r="R400" i="17"/>
  <c r="R155" i="17"/>
  <c r="R156" i="17"/>
  <c r="R159" i="17"/>
  <c r="Q159" i="17"/>
  <c r="V159" i="17" s="1"/>
  <c r="Q156" i="17"/>
  <c r="V156" i="17" s="1"/>
  <c r="Q155" i="17"/>
  <c r="V155" i="17" s="1"/>
  <c r="Q400" i="17"/>
  <c r="V400" i="17" s="1"/>
  <c r="C209" i="43" l="1"/>
  <c r="C210" i="43"/>
  <c r="D292" i="40"/>
  <c r="D293" i="40"/>
  <c r="D130" i="40"/>
  <c r="C128" i="43"/>
  <c r="D108" i="40"/>
  <c r="C106" i="43"/>
  <c r="D267" i="40"/>
  <c r="C281" i="43"/>
  <c r="D240" i="40"/>
  <c r="C254" i="43"/>
  <c r="C201" i="43"/>
  <c r="C202" i="43"/>
  <c r="C37" i="43"/>
  <c r="C38" i="43"/>
  <c r="C143" i="43"/>
  <c r="C144" i="43"/>
  <c r="C279" i="43"/>
  <c r="C280" i="43"/>
  <c r="D239" i="40"/>
  <c r="C253" i="43"/>
  <c r="C236" i="43"/>
  <c r="C237" i="43"/>
  <c r="C238" i="43"/>
  <c r="D175" i="40"/>
  <c r="C172" i="43"/>
  <c r="D155" i="40"/>
  <c r="C151" i="43"/>
  <c r="D129" i="40"/>
  <c r="C127" i="43"/>
  <c r="D106" i="40"/>
  <c r="C104" i="43"/>
  <c r="D73" i="40"/>
  <c r="C82" i="43"/>
  <c r="D51" i="40"/>
  <c r="C59" i="43"/>
  <c r="C35" i="43"/>
  <c r="C36" i="43"/>
  <c r="D238" i="40"/>
  <c r="C252" i="43"/>
  <c r="D197" i="40"/>
  <c r="C200" i="43"/>
  <c r="D289" i="40"/>
  <c r="C171" i="43"/>
  <c r="D128" i="40"/>
  <c r="C126" i="43"/>
  <c r="D105" i="40"/>
  <c r="C103" i="43"/>
  <c r="D72" i="40"/>
  <c r="C81" i="43"/>
  <c r="D50" i="40"/>
  <c r="C58" i="43"/>
  <c r="D286" i="40"/>
  <c r="C300" i="43"/>
  <c r="D264" i="40"/>
  <c r="C278" i="43"/>
  <c r="D237" i="40"/>
  <c r="C251" i="43"/>
  <c r="D196" i="40"/>
  <c r="C199" i="43"/>
  <c r="D174" i="40"/>
  <c r="C170" i="43"/>
  <c r="D127" i="40"/>
  <c r="C125" i="43"/>
  <c r="D104" i="40"/>
  <c r="C102" i="43"/>
  <c r="D71" i="40"/>
  <c r="C80" i="43"/>
  <c r="D49" i="40"/>
  <c r="C57" i="43"/>
  <c r="C33" i="43"/>
  <c r="C34" i="43"/>
  <c r="D107" i="40"/>
  <c r="C105" i="43"/>
  <c r="D285" i="40"/>
  <c r="C299" i="43"/>
  <c r="D263" i="40"/>
  <c r="C277" i="43"/>
  <c r="D236" i="40"/>
  <c r="C250" i="43"/>
  <c r="C183" i="43"/>
  <c r="C184" i="43"/>
  <c r="D103" i="40"/>
  <c r="C101" i="43"/>
  <c r="D295" i="40"/>
  <c r="C79" i="43"/>
  <c r="D48" i="40"/>
  <c r="C56" i="43"/>
  <c r="C30" i="43"/>
  <c r="C31" i="43"/>
  <c r="C32" i="43"/>
  <c r="D284" i="40"/>
  <c r="C298" i="43"/>
  <c r="D262" i="40"/>
  <c r="C276" i="43"/>
  <c r="D235" i="40"/>
  <c r="C249" i="43"/>
  <c r="D153" i="40"/>
  <c r="C149" i="43"/>
  <c r="D125" i="40"/>
  <c r="C123" i="43"/>
  <c r="D102" i="40"/>
  <c r="C100" i="43"/>
  <c r="D47" i="40"/>
  <c r="C55" i="43"/>
  <c r="C28" i="43"/>
  <c r="C29" i="43"/>
  <c r="D283" i="40"/>
  <c r="C297" i="43"/>
  <c r="D261" i="40"/>
  <c r="C275" i="43"/>
  <c r="D234" i="40"/>
  <c r="C248" i="43"/>
  <c r="D124" i="40"/>
  <c r="C122" i="43"/>
  <c r="C98" i="43"/>
  <c r="C99" i="43"/>
  <c r="D46" i="40"/>
  <c r="C54" i="43"/>
  <c r="C26" i="43"/>
  <c r="C27" i="43"/>
  <c r="D282" i="40"/>
  <c r="C273" i="43"/>
  <c r="C274" i="43"/>
  <c r="D233" i="40"/>
  <c r="C247" i="43"/>
  <c r="D195" i="40"/>
  <c r="C198" i="43"/>
  <c r="D123" i="40"/>
  <c r="C121" i="43"/>
  <c r="D45" i="40"/>
  <c r="C53" i="43"/>
  <c r="D281" i="40"/>
  <c r="C295" i="43"/>
  <c r="D258" i="40"/>
  <c r="C272" i="43"/>
  <c r="D232" i="40"/>
  <c r="C246" i="43"/>
  <c r="D171" i="40"/>
  <c r="C168" i="43"/>
  <c r="D148" i="40"/>
  <c r="C147" i="43"/>
  <c r="D122" i="40"/>
  <c r="C120" i="43"/>
  <c r="D99" i="40"/>
  <c r="C97" i="43"/>
  <c r="D44" i="40"/>
  <c r="C52" i="43"/>
  <c r="C22" i="43"/>
  <c r="C23" i="43"/>
  <c r="C24" i="43"/>
  <c r="D280" i="40"/>
  <c r="C294" i="43"/>
  <c r="D257" i="40"/>
  <c r="C271" i="43"/>
  <c r="C244" i="43"/>
  <c r="C245" i="43"/>
  <c r="D186" i="40"/>
  <c r="C182" i="43"/>
  <c r="C161" i="43"/>
  <c r="C166" i="43"/>
  <c r="C167" i="43"/>
  <c r="C165" i="43"/>
  <c r="C162" i="43"/>
  <c r="C163" i="43"/>
  <c r="C164" i="43"/>
  <c r="D121" i="40"/>
  <c r="C119" i="43"/>
  <c r="D98" i="40"/>
  <c r="C96" i="43"/>
  <c r="D43" i="40"/>
  <c r="C51" i="43"/>
  <c r="D17" i="40"/>
  <c r="C21" i="43"/>
  <c r="D279" i="40"/>
  <c r="C293" i="43"/>
  <c r="D256" i="40"/>
  <c r="C270" i="43"/>
  <c r="C234" i="43"/>
  <c r="C235" i="43"/>
  <c r="D194" i="40"/>
  <c r="C197" i="43"/>
  <c r="D120" i="40"/>
  <c r="C118" i="43"/>
  <c r="D97" i="40"/>
  <c r="C95" i="43"/>
  <c r="D278" i="40"/>
  <c r="C292" i="43"/>
  <c r="D255" i="40"/>
  <c r="C269" i="43"/>
  <c r="C211" i="43"/>
  <c r="C220" i="43"/>
  <c r="C221" i="43"/>
  <c r="C222" i="43"/>
  <c r="C212" i="43"/>
  <c r="C213" i="43"/>
  <c r="C214" i="43"/>
  <c r="C215" i="43"/>
  <c r="C216" i="43"/>
  <c r="C217" i="43"/>
  <c r="C218" i="43"/>
  <c r="C219" i="43"/>
  <c r="C195" i="43"/>
  <c r="C196" i="43"/>
  <c r="D190" i="40"/>
  <c r="C192" i="43"/>
  <c r="D185" i="40"/>
  <c r="C181" i="43"/>
  <c r="D119" i="40"/>
  <c r="C117" i="43"/>
  <c r="D96" i="40"/>
  <c r="C94" i="43"/>
  <c r="D63" i="40"/>
  <c r="C72" i="43"/>
  <c r="D15" i="40"/>
  <c r="C19" i="43"/>
  <c r="D277" i="40"/>
  <c r="C291" i="43"/>
  <c r="D254" i="40"/>
  <c r="C268" i="43"/>
  <c r="D300" i="40"/>
  <c r="C243" i="43"/>
  <c r="D142" i="40"/>
  <c r="C141" i="43"/>
  <c r="D137" i="40"/>
  <c r="C137" i="43"/>
  <c r="D118" i="40"/>
  <c r="C116" i="43"/>
  <c r="D296" i="40"/>
  <c r="C93" i="43"/>
  <c r="D40" i="40"/>
  <c r="C47" i="43"/>
  <c r="D14" i="40"/>
  <c r="C18" i="43"/>
  <c r="D276" i="40"/>
  <c r="C290" i="43"/>
  <c r="C266" i="43"/>
  <c r="C267" i="43"/>
  <c r="D188" i="40"/>
  <c r="C191" i="43"/>
  <c r="D136" i="40"/>
  <c r="C136" i="43"/>
  <c r="D117" i="40"/>
  <c r="C115" i="43"/>
  <c r="D61" i="40"/>
  <c r="C69" i="43"/>
  <c r="D39" i="40"/>
  <c r="C46" i="43"/>
  <c r="D275" i="40"/>
  <c r="C289" i="43"/>
  <c r="C265" i="43"/>
  <c r="C264" i="43"/>
  <c r="C241" i="43"/>
  <c r="C242" i="43"/>
  <c r="D299" i="40"/>
  <c r="C190" i="43"/>
  <c r="C134" i="43"/>
  <c r="C135" i="43"/>
  <c r="D116" i="40"/>
  <c r="C114" i="43"/>
  <c r="D95" i="40"/>
  <c r="C92" i="43"/>
  <c r="D60" i="40"/>
  <c r="C68" i="43"/>
  <c r="D12" i="40"/>
  <c r="C16" i="43"/>
  <c r="D274" i="40"/>
  <c r="C288" i="43"/>
  <c r="C263" i="43"/>
  <c r="C262" i="43"/>
  <c r="C159" i="43"/>
  <c r="C160" i="43"/>
  <c r="D115" i="40"/>
  <c r="C113" i="43"/>
  <c r="D94" i="40"/>
  <c r="C91" i="43"/>
  <c r="D59" i="40"/>
  <c r="C67" i="43"/>
  <c r="D273" i="40"/>
  <c r="C287" i="43"/>
  <c r="D247" i="40"/>
  <c r="C261" i="43"/>
  <c r="C178" i="43"/>
  <c r="C179" i="43"/>
  <c r="C180" i="43"/>
  <c r="C156" i="43"/>
  <c r="C158" i="43"/>
  <c r="C157" i="43"/>
  <c r="D114" i="40"/>
  <c r="C112" i="43"/>
  <c r="D93" i="40"/>
  <c r="C90" i="43"/>
  <c r="D58" i="40"/>
  <c r="C66" i="43"/>
  <c r="D37" i="40"/>
  <c r="C44" i="43"/>
  <c r="C12" i="43"/>
  <c r="C13" i="43"/>
  <c r="C14" i="43"/>
  <c r="D272" i="40"/>
  <c r="C286" i="43"/>
  <c r="C260" i="43"/>
  <c r="C259" i="43"/>
  <c r="C206" i="43"/>
  <c r="C207" i="43"/>
  <c r="D181" i="40"/>
  <c r="C177" i="43"/>
  <c r="D141" i="40"/>
  <c r="C139" i="43"/>
  <c r="D298" i="40"/>
  <c r="C133" i="43"/>
  <c r="D113" i="40"/>
  <c r="C111" i="43"/>
  <c r="C85" i="43"/>
  <c r="C89" i="43"/>
  <c r="C87" i="43"/>
  <c r="C88" i="43"/>
  <c r="C86" i="43"/>
  <c r="D57" i="40"/>
  <c r="C65" i="43"/>
  <c r="D36" i="40"/>
  <c r="C43" i="43"/>
  <c r="D271" i="40"/>
  <c r="C285" i="43"/>
  <c r="D244" i="40"/>
  <c r="C258" i="43"/>
  <c r="C204" i="43"/>
  <c r="C205" i="43"/>
  <c r="D187" i="40"/>
  <c r="C131" i="43"/>
  <c r="D112" i="40"/>
  <c r="C110" i="43"/>
  <c r="C302" i="43"/>
  <c r="C303" i="43"/>
  <c r="C304" i="43"/>
  <c r="C305" i="43"/>
  <c r="C306" i="43"/>
  <c r="C307" i="43"/>
  <c r="C308" i="43"/>
  <c r="D56" i="40"/>
  <c r="C64" i="43"/>
  <c r="D35" i="40"/>
  <c r="C42" i="43"/>
  <c r="D270" i="40"/>
  <c r="C284" i="43"/>
  <c r="D243" i="40"/>
  <c r="C257" i="43"/>
  <c r="C232" i="43"/>
  <c r="C233" i="43"/>
  <c r="D203" i="40"/>
  <c r="C208" i="43"/>
  <c r="D180" i="40"/>
  <c r="C176" i="43"/>
  <c r="D133" i="40"/>
  <c r="C130" i="43"/>
  <c r="D111" i="40"/>
  <c r="C109" i="43"/>
  <c r="D55" i="40"/>
  <c r="C63" i="43"/>
  <c r="D34" i="40"/>
  <c r="C41" i="43"/>
  <c r="D269" i="40"/>
  <c r="C283" i="43"/>
  <c r="D242" i="40"/>
  <c r="C256" i="43"/>
  <c r="D229" i="40"/>
  <c r="C240" i="43"/>
  <c r="C230" i="43"/>
  <c r="C231" i="43"/>
  <c r="C174" i="43"/>
  <c r="C175" i="43"/>
  <c r="D110" i="40"/>
  <c r="C108" i="43"/>
  <c r="D75" i="40"/>
  <c r="C84" i="43"/>
  <c r="D54" i="40"/>
  <c r="C62" i="43"/>
  <c r="D33" i="40"/>
  <c r="C40" i="43"/>
  <c r="D268" i="40"/>
  <c r="C282" i="43"/>
  <c r="D241" i="40"/>
  <c r="C255" i="43"/>
  <c r="D228" i="40"/>
  <c r="C239" i="43"/>
  <c r="D192" i="40"/>
  <c r="C194" i="43"/>
  <c r="D177" i="40"/>
  <c r="C173" i="43"/>
  <c r="D131" i="40"/>
  <c r="C129" i="43"/>
  <c r="D109" i="40"/>
  <c r="C107" i="43"/>
  <c r="D74" i="40"/>
  <c r="C83" i="43"/>
  <c r="D53" i="40"/>
  <c r="C61" i="43"/>
  <c r="D32" i="40"/>
  <c r="C39" i="43"/>
  <c r="D156" i="40"/>
  <c r="C152" i="43"/>
  <c r="D52" i="40"/>
  <c r="C60" i="43"/>
  <c r="D154" i="40"/>
  <c r="C150" i="43"/>
  <c r="D66" i="40"/>
  <c r="C74" i="43"/>
  <c r="D13" i="40"/>
  <c r="C17" i="43"/>
  <c r="D173" i="40"/>
  <c r="C169" i="43"/>
  <c r="D69" i="40"/>
  <c r="C77" i="43"/>
  <c r="D67" i="40"/>
  <c r="C75" i="43"/>
  <c r="D41" i="40"/>
  <c r="C48" i="43"/>
  <c r="D62" i="40"/>
  <c r="C70" i="43"/>
  <c r="D38" i="40"/>
  <c r="C45" i="43"/>
  <c r="D70" i="40"/>
  <c r="C78" i="43"/>
  <c r="D68" i="40"/>
  <c r="C76" i="43"/>
  <c r="D160" i="40"/>
  <c r="C309" i="43"/>
  <c r="D159" i="40"/>
  <c r="C155" i="43"/>
  <c r="D158" i="40"/>
  <c r="C154" i="43"/>
  <c r="D157" i="40"/>
  <c r="C153" i="43"/>
  <c r="D31" i="40"/>
  <c r="D147" i="40"/>
  <c r="D231" i="40"/>
  <c r="D126" i="40"/>
  <c r="D101" i="40"/>
  <c r="D21" i="40"/>
  <c r="D193" i="40"/>
  <c r="D221" i="40"/>
  <c r="D225" i="40"/>
  <c r="D215" i="40"/>
  <c r="D198" i="40"/>
  <c r="D217" i="40"/>
  <c r="D191" i="40"/>
  <c r="D222" i="40"/>
  <c r="D28" i="40"/>
  <c r="D24" i="40"/>
  <c r="D220" i="40"/>
  <c r="D216" i="40"/>
  <c r="D16" i="40"/>
  <c r="D230" i="40"/>
  <c r="D135" i="40"/>
  <c r="D11" i="40"/>
  <c r="D182" i="40"/>
  <c r="D200" i="40"/>
  <c r="D224" i="40"/>
  <c r="D223" i="40"/>
  <c r="D199" i="40"/>
  <c r="D146" i="40"/>
  <c r="D143" i="40"/>
  <c r="C44" i="38"/>
  <c r="D42" i="40"/>
  <c r="D307" i="40"/>
  <c r="D306" i="40"/>
  <c r="D189" i="40"/>
  <c r="D304" i="40"/>
  <c r="D287" i="40"/>
  <c r="D288" i="40"/>
  <c r="D265" i="40"/>
  <c r="D266" i="40"/>
  <c r="D259" i="40"/>
  <c r="D260" i="40"/>
  <c r="D252" i="40"/>
  <c r="D253" i="40"/>
  <c r="D250" i="40"/>
  <c r="D251" i="40"/>
  <c r="D248" i="40"/>
  <c r="D249" i="40"/>
  <c r="D245" i="40"/>
  <c r="D246" i="40"/>
  <c r="D226" i="40"/>
  <c r="D227" i="40"/>
  <c r="D218" i="40"/>
  <c r="D219" i="40"/>
  <c r="D204" i="40"/>
  <c r="D205" i="40"/>
  <c r="D206" i="40"/>
  <c r="D207" i="40"/>
  <c r="D208" i="40"/>
  <c r="D209" i="40"/>
  <c r="D210" i="40"/>
  <c r="D211" i="40"/>
  <c r="D212" i="40"/>
  <c r="D213" i="40"/>
  <c r="D214" i="40"/>
  <c r="D201" i="40"/>
  <c r="D202" i="40"/>
  <c r="D178" i="40"/>
  <c r="D179" i="40"/>
  <c r="D166" i="40"/>
  <c r="D167" i="40"/>
  <c r="D168" i="40"/>
  <c r="D169" i="40"/>
  <c r="D170" i="40"/>
  <c r="D164" i="40"/>
  <c r="D165" i="40"/>
  <c r="D161" i="40"/>
  <c r="D162" i="40"/>
  <c r="D163" i="40"/>
  <c r="D151" i="40"/>
  <c r="D152" i="40"/>
  <c r="D144" i="40"/>
  <c r="D145" i="40"/>
  <c r="D138" i="40"/>
  <c r="D139" i="40"/>
  <c r="D84" i="40"/>
  <c r="D85" i="40"/>
  <c r="D86" i="40"/>
  <c r="D87" i="40"/>
  <c r="D88" i="40"/>
  <c r="D89" i="40"/>
  <c r="D90" i="40"/>
  <c r="D91" i="40"/>
  <c r="D92" i="40"/>
  <c r="D76" i="40"/>
  <c r="D77" i="40"/>
  <c r="D78" i="40"/>
  <c r="D79" i="40"/>
  <c r="D80" i="40"/>
  <c r="D81" i="40"/>
  <c r="D82" i="40"/>
  <c r="D83" i="40"/>
  <c r="D64" i="40"/>
  <c r="D65" i="40"/>
  <c r="D29" i="40"/>
  <c r="D30" i="40"/>
  <c r="D25" i="40"/>
  <c r="D26" i="40"/>
  <c r="D27" i="40"/>
  <c r="D22" i="40"/>
  <c r="D23" i="40"/>
  <c r="D18" i="40"/>
  <c r="D19" i="40"/>
  <c r="D20" i="40"/>
  <c r="D9" i="40"/>
  <c r="D10" i="40"/>
  <c r="C15" i="38"/>
  <c r="D8" i="40"/>
  <c r="C46" i="38"/>
  <c r="C65" i="38"/>
  <c r="C43" i="38"/>
  <c r="C21" i="38"/>
  <c r="C61" i="38"/>
  <c r="C17" i="38"/>
  <c r="C86" i="38"/>
  <c r="C36" i="38"/>
  <c r="C118" i="38"/>
  <c r="C82" i="38"/>
  <c r="C104" i="38"/>
  <c r="C97" i="38"/>
  <c r="C67" i="38"/>
  <c r="C53" i="38"/>
  <c r="C108" i="38"/>
  <c r="C52" i="38"/>
  <c r="C107" i="38"/>
  <c r="C89" i="38"/>
  <c r="C80" i="38"/>
  <c r="C51" i="38"/>
  <c r="C29" i="38"/>
  <c r="C120" i="38"/>
  <c r="C50" i="38"/>
  <c r="C28" i="38"/>
  <c r="C106" i="38"/>
  <c r="C84" i="38"/>
  <c r="C49" i="38"/>
  <c r="C27" i="38"/>
  <c r="C99" i="38"/>
  <c r="C96" i="38"/>
  <c r="C73" i="38"/>
  <c r="C48" i="38"/>
  <c r="C26" i="38"/>
  <c r="C95" i="38"/>
  <c r="C79" i="38"/>
  <c r="C47" i="38"/>
  <c r="C25" i="38"/>
  <c r="C114" i="38"/>
  <c r="C103" i="38"/>
  <c r="C83" i="38"/>
  <c r="C111" i="38"/>
  <c r="C102" i="38"/>
  <c r="C45" i="38"/>
  <c r="C23" i="38"/>
  <c r="C93" i="38"/>
  <c r="C91" i="38"/>
  <c r="C66" i="38"/>
  <c r="C22" i="38"/>
  <c r="C119" i="38"/>
  <c r="C81" i="38"/>
  <c r="C64" i="38"/>
  <c r="C42" i="38"/>
  <c r="C20" i="38"/>
  <c r="C63" i="38"/>
  <c r="C41" i="38"/>
  <c r="C19" i="38"/>
  <c r="C78" i="38"/>
  <c r="C62" i="38"/>
  <c r="C18" i="38"/>
  <c r="C39" i="38"/>
  <c r="C90" i="38"/>
  <c r="C75" i="38"/>
  <c r="C60" i="38"/>
  <c r="C38" i="38"/>
  <c r="C100" i="38"/>
  <c r="C59" i="38"/>
  <c r="C37" i="38"/>
  <c r="C110" i="38"/>
  <c r="C58" i="38"/>
  <c r="C109" i="38"/>
  <c r="C57" i="38"/>
  <c r="C35" i="38"/>
  <c r="C70" i="38"/>
  <c r="C56" i="38"/>
  <c r="C34" i="38"/>
  <c r="C76" i="38"/>
  <c r="C69" i="38"/>
  <c r="C55" i="38"/>
  <c r="C33" i="38"/>
  <c r="C115" i="38"/>
  <c r="C112" i="38"/>
  <c r="C74" i="38"/>
  <c r="C54" i="38"/>
  <c r="C32" i="38"/>
  <c r="C16" i="38"/>
  <c r="C72" i="38"/>
  <c r="C88" i="38"/>
  <c r="C101" i="38"/>
  <c r="C121" i="38"/>
  <c r="C71" i="38"/>
  <c r="C31" i="38"/>
  <c r="C24" i="38"/>
  <c r="C113" i="38"/>
  <c r="C105" i="38"/>
  <c r="C85" i="38"/>
  <c r="C98" i="38"/>
  <c r="P227" i="17"/>
  <c r="P400" i="17"/>
  <c r="P159" i="17"/>
  <c r="P156" i="17"/>
  <c r="P155" i="17"/>
  <c r="R12" i="17" l="1"/>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621"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20" i="17"/>
  <c r="R121" i="17"/>
  <c r="R122" i="17"/>
  <c r="R123" i="17"/>
  <c r="R125" i="17"/>
  <c r="R126" i="17"/>
  <c r="R127" i="17"/>
  <c r="R128" i="17"/>
  <c r="R129" i="17"/>
  <c r="R130" i="17"/>
  <c r="R131" i="17"/>
  <c r="R132" i="17"/>
  <c r="R133" i="17"/>
  <c r="R134" i="17"/>
  <c r="R135" i="17"/>
  <c r="R136" i="17"/>
  <c r="R137" i="17"/>
  <c r="R138" i="17"/>
  <c r="R183" i="17"/>
  <c r="R184" i="17"/>
  <c r="R185" i="17"/>
  <c r="R186" i="17"/>
  <c r="R187" i="17"/>
  <c r="R188" i="17"/>
  <c r="R189" i="17"/>
  <c r="R190" i="17"/>
  <c r="R191" i="17"/>
  <c r="R192" i="17"/>
  <c r="R193" i="17"/>
  <c r="R194" i="17"/>
  <c r="R622" i="17"/>
  <c r="R195" i="17"/>
  <c r="R196" i="17"/>
  <c r="R197" i="17"/>
  <c r="R198" i="17"/>
  <c r="R200" i="17"/>
  <c r="R201" i="17"/>
  <c r="R202" i="17"/>
  <c r="R203" i="17"/>
  <c r="R204" i="17"/>
  <c r="R205" i="17"/>
  <c r="R206" i="17"/>
  <c r="R207" i="17"/>
  <c r="R208" i="17"/>
  <c r="R210" i="17"/>
  <c r="R211" i="17"/>
  <c r="R212" i="17"/>
  <c r="R213" i="17"/>
  <c r="R214" i="17"/>
  <c r="R215" i="17"/>
  <c r="R216" i="17"/>
  <c r="R217" i="17"/>
  <c r="R218" i="17"/>
  <c r="R228" i="17"/>
  <c r="R229" i="17"/>
  <c r="R230" i="17"/>
  <c r="R231" i="17"/>
  <c r="R232" i="17"/>
  <c r="R233" i="17"/>
  <c r="R234" i="17"/>
  <c r="R236" i="17"/>
  <c r="R238" i="17"/>
  <c r="R239" i="17"/>
  <c r="R240" i="17"/>
  <c r="R241" i="17"/>
  <c r="R242" i="17"/>
  <c r="R243" i="17"/>
  <c r="R244" i="17"/>
  <c r="R245" i="17"/>
  <c r="R246" i="17"/>
  <c r="R247" i="17"/>
  <c r="R248" i="17"/>
  <c r="R249" i="17"/>
  <c r="R250" i="17"/>
  <c r="R251" i="17"/>
  <c r="R252" i="17"/>
  <c r="R253" i="17"/>
  <c r="R254" i="17"/>
  <c r="R255" i="17"/>
  <c r="R256" i="17"/>
  <c r="R257" i="17"/>
  <c r="R258" i="17"/>
  <c r="R259" i="17"/>
  <c r="R260" i="17"/>
  <c r="R261" i="17"/>
  <c r="R262" i="17"/>
  <c r="R263" i="17"/>
  <c r="R264" i="17"/>
  <c r="R265" i="17"/>
  <c r="R266" i="17"/>
  <c r="R267" i="17"/>
  <c r="R268" i="17"/>
  <c r="R269" i="17"/>
  <c r="R270" i="17"/>
  <c r="R271" i="17"/>
  <c r="R272" i="17"/>
  <c r="R273" i="17"/>
  <c r="R274" i="17"/>
  <c r="R275" i="17"/>
  <c r="R276" i="17"/>
  <c r="R277" i="17"/>
  <c r="R278" i="17"/>
  <c r="R279" i="17"/>
  <c r="R280" i="17"/>
  <c r="R281" i="17"/>
  <c r="R282" i="17"/>
  <c r="R283" i="17"/>
  <c r="R284" i="17"/>
  <c r="R285" i="17"/>
  <c r="R286" i="17"/>
  <c r="R287" i="17"/>
  <c r="R288" i="17"/>
  <c r="R289" i="17"/>
  <c r="R290" i="17"/>
  <c r="R291" i="17"/>
  <c r="R292" i="17"/>
  <c r="R293" i="17"/>
  <c r="R294" i="17"/>
  <c r="R295" i="17"/>
  <c r="R296" i="17"/>
  <c r="R297" i="17"/>
  <c r="R298" i="17"/>
  <c r="R299" i="17"/>
  <c r="R300" i="17"/>
  <c r="R301" i="17"/>
  <c r="R302" i="17"/>
  <c r="R303" i="17"/>
  <c r="R304" i="17"/>
  <c r="R305" i="17"/>
  <c r="R306" i="17"/>
  <c r="R307" i="17"/>
  <c r="R308" i="17"/>
  <c r="R309" i="17"/>
  <c r="R310" i="17"/>
  <c r="R311" i="17"/>
  <c r="R312" i="17"/>
  <c r="R313" i="17"/>
  <c r="R314" i="17"/>
  <c r="R315" i="17"/>
  <c r="R316" i="17"/>
  <c r="R317" i="17"/>
  <c r="R318" i="17"/>
  <c r="R319" i="17"/>
  <c r="R320" i="17"/>
  <c r="R321" i="17"/>
  <c r="R322" i="17"/>
  <c r="R323" i="17"/>
  <c r="R324" i="17"/>
  <c r="R325" i="17"/>
  <c r="R326" i="17"/>
  <c r="R327" i="17"/>
  <c r="R328" i="17"/>
  <c r="R329" i="17"/>
  <c r="R330" i="17"/>
  <c r="R331" i="17"/>
  <c r="R332" i="17"/>
  <c r="R333" i="17"/>
  <c r="R334" i="17"/>
  <c r="R335" i="17"/>
  <c r="R337" i="17"/>
  <c r="R338" i="17"/>
  <c r="R339" i="17"/>
  <c r="R340" i="17"/>
  <c r="R341" i="17"/>
  <c r="R342" i="17"/>
  <c r="R343" i="17"/>
  <c r="R153" i="17"/>
  <c r="R154" i="17"/>
  <c r="R157" i="17"/>
  <c r="R158" i="17"/>
  <c r="R344" i="17"/>
  <c r="R345" i="17"/>
  <c r="R346" i="17"/>
  <c r="R347" i="17"/>
  <c r="R348" i="17"/>
  <c r="R349" i="17"/>
  <c r="R350" i="17"/>
  <c r="R351" i="17"/>
  <c r="R352" i="17"/>
  <c r="R353" i="17"/>
  <c r="R354" i="17"/>
  <c r="R355" i="17"/>
  <c r="R356" i="17"/>
  <c r="R357" i="17"/>
  <c r="R358" i="17"/>
  <c r="R359" i="17"/>
  <c r="R360" i="17"/>
  <c r="R361" i="17"/>
  <c r="R362" i="17"/>
  <c r="R363" i="17"/>
  <c r="R364" i="17"/>
  <c r="R365" i="17"/>
  <c r="R366" i="17"/>
  <c r="R367" i="17"/>
  <c r="R368" i="17"/>
  <c r="R369" i="17"/>
  <c r="R370" i="17"/>
  <c r="R371" i="17"/>
  <c r="R372" i="17"/>
  <c r="R373" i="17"/>
  <c r="R374" i="17"/>
  <c r="R375" i="17"/>
  <c r="R376" i="17"/>
  <c r="R377" i="17"/>
  <c r="R378" i="17"/>
  <c r="R379" i="17"/>
  <c r="R380" i="17"/>
  <c r="R381" i="17"/>
  <c r="R382" i="17"/>
  <c r="R383" i="17"/>
  <c r="R384" i="17"/>
  <c r="R385" i="17"/>
  <c r="R386" i="17"/>
  <c r="R387" i="17"/>
  <c r="R388" i="17"/>
  <c r="R389" i="17"/>
  <c r="R391" i="17"/>
  <c r="R392" i="17"/>
  <c r="R393" i="17"/>
  <c r="R394" i="17"/>
  <c r="R395" i="17"/>
  <c r="R396" i="17"/>
  <c r="R397" i="17"/>
  <c r="R398" i="17"/>
  <c r="R399" i="17"/>
  <c r="R115" i="17"/>
  <c r="R116" i="17"/>
  <c r="R117" i="17"/>
  <c r="R118" i="17"/>
  <c r="R119" i="17"/>
  <c r="R140" i="17"/>
  <c r="R141" i="17"/>
  <c r="R142" i="17"/>
  <c r="R143" i="17"/>
  <c r="R144" i="17"/>
  <c r="R145" i="17"/>
  <c r="R146" i="17"/>
  <c r="R147" i="17"/>
  <c r="R148" i="17"/>
  <c r="R149" i="17"/>
  <c r="R150" i="17"/>
  <c r="R151" i="17"/>
  <c r="R152" i="17"/>
  <c r="R401" i="17"/>
  <c r="R402" i="17"/>
  <c r="R403" i="17"/>
  <c r="R404" i="17"/>
  <c r="R405" i="17"/>
  <c r="R406" i="17"/>
  <c r="R407" i="17"/>
  <c r="R408" i="17"/>
  <c r="R409" i="17"/>
  <c r="R410" i="17"/>
  <c r="R411" i="17"/>
  <c r="R412" i="17"/>
  <c r="R413" i="17"/>
  <c r="R414" i="17"/>
  <c r="R415" i="17"/>
  <c r="R416" i="17"/>
  <c r="R417" i="17"/>
  <c r="R418" i="17"/>
  <c r="R419" i="17"/>
  <c r="R420" i="17"/>
  <c r="R421" i="17"/>
  <c r="R422" i="17"/>
  <c r="R423" i="17"/>
  <c r="R424" i="17"/>
  <c r="R425" i="17"/>
  <c r="R426" i="17"/>
  <c r="R427" i="17"/>
  <c r="R428" i="17"/>
  <c r="R429" i="17"/>
  <c r="R430" i="17"/>
  <c r="R431" i="17"/>
  <c r="R432" i="17"/>
  <c r="R433" i="17"/>
  <c r="R434" i="17"/>
  <c r="R435" i="17"/>
  <c r="R436" i="17"/>
  <c r="R437" i="17"/>
  <c r="R438" i="17"/>
  <c r="R439" i="17"/>
  <c r="R440" i="17"/>
  <c r="R441" i="17"/>
  <c r="R442" i="17"/>
  <c r="R443" i="17"/>
  <c r="R444" i="17"/>
  <c r="R445" i="17"/>
  <c r="R446" i="17"/>
  <c r="R447" i="17"/>
  <c r="R448" i="17"/>
  <c r="R449" i="17"/>
  <c r="R450" i="17"/>
  <c r="R451" i="17"/>
  <c r="R452" i="17"/>
  <c r="R453" i="17"/>
  <c r="R454" i="17"/>
  <c r="R455" i="17"/>
  <c r="R456" i="17"/>
  <c r="R457" i="17"/>
  <c r="R458" i="17"/>
  <c r="R459" i="17"/>
  <c r="R460" i="17"/>
  <c r="R461" i="17"/>
  <c r="R462" i="17"/>
  <c r="R463" i="17"/>
  <c r="R464" i="17"/>
  <c r="R465" i="17"/>
  <c r="R466" i="17"/>
  <c r="R467" i="17"/>
  <c r="R468" i="17"/>
  <c r="R469" i="17"/>
  <c r="R470" i="17"/>
  <c r="R471" i="17"/>
  <c r="R472" i="17"/>
  <c r="R473" i="17"/>
  <c r="R474" i="17"/>
  <c r="R475" i="17"/>
  <c r="R476" i="17"/>
  <c r="R477" i="17"/>
  <c r="R478" i="17"/>
  <c r="R479" i="17"/>
  <c r="R480" i="17"/>
  <c r="R481" i="17"/>
  <c r="R482" i="17"/>
  <c r="R483" i="17"/>
  <c r="R484" i="17"/>
  <c r="R485" i="17"/>
  <c r="R486" i="17"/>
  <c r="R487" i="17"/>
  <c r="R488" i="17"/>
  <c r="R489" i="17"/>
  <c r="R490" i="17"/>
  <c r="R491" i="17"/>
  <c r="R492" i="17"/>
  <c r="R219" i="17"/>
  <c r="R220" i="17"/>
  <c r="R221" i="17"/>
  <c r="R224" i="17"/>
  <c r="R226" i="17"/>
  <c r="R493" i="17"/>
  <c r="R494" i="17"/>
  <c r="R495" i="17"/>
  <c r="R496" i="17"/>
  <c r="R497" i="17"/>
  <c r="R550" i="17"/>
  <c r="R549" i="17"/>
  <c r="R548" i="17"/>
  <c r="R547" i="17"/>
  <c r="R546" i="17"/>
  <c r="R545" i="17"/>
  <c r="R544" i="17"/>
  <c r="R543" i="17"/>
  <c r="R542" i="17"/>
  <c r="R541" i="17"/>
  <c r="R539" i="17"/>
  <c r="R537" i="17"/>
  <c r="R536" i="17"/>
  <c r="R535" i="17"/>
  <c r="R534" i="17"/>
  <c r="R533" i="17"/>
  <c r="R532" i="17"/>
  <c r="R531" i="17"/>
  <c r="R530" i="17"/>
  <c r="R529" i="17"/>
  <c r="R528" i="17"/>
  <c r="R527" i="17"/>
  <c r="R526" i="17"/>
  <c r="R525" i="17"/>
  <c r="R524" i="17"/>
  <c r="R523" i="17"/>
  <c r="R522" i="17"/>
  <c r="R521" i="17"/>
  <c r="R520" i="17"/>
  <c r="R519" i="17"/>
  <c r="R518" i="17"/>
  <c r="R517" i="17"/>
  <c r="R516" i="17"/>
  <c r="R515" i="17"/>
  <c r="R514" i="17"/>
  <c r="R513" i="17"/>
  <c r="R512" i="17"/>
  <c r="R511" i="17"/>
  <c r="R510" i="17"/>
  <c r="R509" i="17"/>
  <c r="R508" i="17"/>
  <c r="R507" i="17"/>
  <c r="R506" i="17"/>
  <c r="R505" i="17"/>
  <c r="R504" i="17"/>
  <c r="R503" i="17"/>
  <c r="R502" i="17"/>
  <c r="R501" i="17"/>
  <c r="R500" i="17"/>
  <c r="R499" i="17"/>
  <c r="R498" i="17"/>
  <c r="R160" i="17"/>
  <c r="R166" i="17"/>
  <c r="R171" i="17"/>
  <c r="R174" i="17"/>
  <c r="R168" i="17"/>
  <c r="R172" i="17"/>
  <c r="R165" i="17"/>
  <c r="R170" i="17"/>
  <c r="R173" i="17"/>
  <c r="R167" i="17"/>
  <c r="R175" i="17"/>
  <c r="R169" i="17"/>
  <c r="R176" i="17"/>
  <c r="R177" i="17"/>
  <c r="R178" i="17"/>
  <c r="R179" i="17"/>
  <c r="R180" i="17"/>
  <c r="R181" i="17"/>
  <c r="R182" i="17"/>
  <c r="R161" i="17"/>
  <c r="R163" i="17"/>
  <c r="R164" i="17"/>
  <c r="R162" i="17"/>
  <c r="R551" i="17"/>
  <c r="R552" i="17"/>
  <c r="R553" i="17"/>
  <c r="R554" i="17"/>
  <c r="R555" i="17"/>
  <c r="R556" i="17"/>
  <c r="R557" i="17"/>
  <c r="R558" i="17"/>
  <c r="R559" i="17"/>
  <c r="R560" i="17"/>
  <c r="R561" i="17"/>
  <c r="R562" i="17"/>
  <c r="R563" i="17"/>
  <c r="R564" i="17"/>
  <c r="R565" i="17"/>
  <c r="R566" i="17"/>
  <c r="R567" i="17"/>
  <c r="R568" i="17"/>
  <c r="R569" i="17"/>
  <c r="G10" i="38" l="1"/>
  <c r="T11" i="28"/>
  <c r="T7" i="28"/>
  <c r="T10" i="28"/>
  <c r="T8" i="28"/>
  <c r="T14" i="28"/>
  <c r="T12" i="28"/>
  <c r="P37" i="17"/>
  <c r="P78" i="17"/>
  <c r="P123" i="17"/>
  <c r="P126" i="17"/>
  <c r="P127" i="17"/>
  <c r="P131" i="17"/>
  <c r="P136" i="17"/>
  <c r="P137" i="17"/>
  <c r="P138" i="17"/>
  <c r="P185" i="17"/>
  <c r="P189" i="17"/>
  <c r="P193" i="17"/>
  <c r="P196" i="17"/>
  <c r="P197" i="17"/>
  <c r="P198" i="17"/>
  <c r="P201" i="17"/>
  <c r="P202" i="17"/>
  <c r="P232" i="17"/>
  <c r="P335" i="17"/>
  <c r="P117" i="17"/>
  <c r="P118" i="17"/>
  <c r="P119" i="17"/>
  <c r="P568" i="17"/>
  <c r="P83" i="17"/>
  <c r="Q12" i="17"/>
  <c r="P12" i="17" s="1"/>
  <c r="Q13" i="17"/>
  <c r="P13" i="17" s="1"/>
  <c r="Q14" i="17"/>
  <c r="Q15" i="17"/>
  <c r="Q16" i="17"/>
  <c r="Q17" i="17"/>
  <c r="P17" i="17" s="1"/>
  <c r="Q18" i="17"/>
  <c r="P18" i="17" s="1"/>
  <c r="Q19" i="17"/>
  <c r="P19" i="17" s="1"/>
  <c r="Q20" i="17"/>
  <c r="P20" i="17" s="1"/>
  <c r="Q21" i="17"/>
  <c r="P21" i="17" s="1"/>
  <c r="Q22" i="17"/>
  <c r="P22" i="17" s="1"/>
  <c r="Q23" i="17"/>
  <c r="P23" i="17" s="1"/>
  <c r="Q24" i="17"/>
  <c r="P24" i="17" s="1"/>
  <c r="Q25" i="17"/>
  <c r="P25" i="17" s="1"/>
  <c r="Q26" i="17"/>
  <c r="P26" i="17" s="1"/>
  <c r="Q27" i="17"/>
  <c r="P27" i="17" s="1"/>
  <c r="Q28" i="17"/>
  <c r="P28" i="17" s="1"/>
  <c r="Q29" i="17"/>
  <c r="P29" i="17" s="1"/>
  <c r="Q30" i="17"/>
  <c r="P30" i="17" s="1"/>
  <c r="Q31" i="17"/>
  <c r="P31" i="17" s="1"/>
  <c r="Q32" i="17"/>
  <c r="P32" i="17" s="1"/>
  <c r="Q33" i="17"/>
  <c r="P33" i="17" s="1"/>
  <c r="Q34" i="17"/>
  <c r="P34" i="17" s="1"/>
  <c r="Q35" i="17"/>
  <c r="Q36" i="17"/>
  <c r="Q37" i="17"/>
  <c r="V37" i="17" s="1"/>
  <c r="Q38" i="17"/>
  <c r="Q39" i="17"/>
  <c r="Q40" i="17"/>
  <c r="Q41" i="17"/>
  <c r="P41" i="17" s="1"/>
  <c r="Q43" i="17"/>
  <c r="P43" i="17" s="1"/>
  <c r="Q44" i="17"/>
  <c r="P44" i="17" s="1"/>
  <c r="Q45" i="17"/>
  <c r="P45" i="17" s="1"/>
  <c r="Q46" i="17"/>
  <c r="P46" i="17" s="1"/>
  <c r="Q47" i="17"/>
  <c r="P47" i="17" s="1"/>
  <c r="Q48" i="17"/>
  <c r="P48" i="17" s="1"/>
  <c r="Q49" i="17"/>
  <c r="P49" i="17" s="1"/>
  <c r="Q50" i="17"/>
  <c r="P50" i="17" s="1"/>
  <c r="Q51" i="17"/>
  <c r="P51" i="17" s="1"/>
  <c r="Q52" i="17"/>
  <c r="P52" i="17" s="1"/>
  <c r="Q53" i="17"/>
  <c r="P53" i="17" s="1"/>
  <c r="Q54" i="17"/>
  <c r="P54" i="17" s="1"/>
  <c r="Q55" i="17"/>
  <c r="P55" i="17" s="1"/>
  <c r="Q56" i="17"/>
  <c r="P56" i="17" s="1"/>
  <c r="Q57" i="17"/>
  <c r="P57" i="17" s="1"/>
  <c r="Q58" i="17"/>
  <c r="P58" i="17" s="1"/>
  <c r="Q59" i="17"/>
  <c r="P59" i="17" s="1"/>
  <c r="Q60" i="17"/>
  <c r="P60" i="17" s="1"/>
  <c r="Q61" i="17"/>
  <c r="Q62" i="17"/>
  <c r="Q63" i="17"/>
  <c r="Q64" i="17"/>
  <c r="Q65" i="17"/>
  <c r="Q66" i="17"/>
  <c r="P66" i="17" s="1"/>
  <c r="Q67" i="17"/>
  <c r="P67" i="17" s="1"/>
  <c r="Q68" i="17"/>
  <c r="P68" i="17" s="1"/>
  <c r="Q69" i="17"/>
  <c r="P69" i="17" s="1"/>
  <c r="Q70" i="17"/>
  <c r="P70" i="17" s="1"/>
  <c r="Q71" i="17"/>
  <c r="P71" i="17" s="1"/>
  <c r="Q72" i="17"/>
  <c r="P72" i="17" s="1"/>
  <c r="Q73" i="17"/>
  <c r="P73" i="17" s="1"/>
  <c r="Q74" i="17"/>
  <c r="P74" i="17" s="1"/>
  <c r="Q75" i="17"/>
  <c r="P75" i="17" s="1"/>
  <c r="Q76" i="17"/>
  <c r="P76" i="17" s="1"/>
  <c r="Q77" i="17"/>
  <c r="P77" i="17" s="1"/>
  <c r="Q78" i="17"/>
  <c r="V78" i="17" s="1"/>
  <c r="Q621" i="17"/>
  <c r="P621" i="17" s="1"/>
  <c r="Q79" i="17"/>
  <c r="P79" i="17" s="1"/>
  <c r="Q80" i="17"/>
  <c r="P80" i="17" s="1"/>
  <c r="Q81" i="17"/>
  <c r="P81" i="17" s="1"/>
  <c r="Q82" i="17"/>
  <c r="P82" i="17" s="1"/>
  <c r="Q84" i="17"/>
  <c r="P84" i="17" s="1"/>
  <c r="Q85" i="17"/>
  <c r="P85" i="17" s="1"/>
  <c r="Q86" i="17"/>
  <c r="Q87" i="17"/>
  <c r="Q88" i="17"/>
  <c r="P88" i="17" s="1"/>
  <c r="Q89" i="17"/>
  <c r="Q90" i="17"/>
  <c r="P90" i="17" s="1"/>
  <c r="Q91" i="17"/>
  <c r="P91" i="17" s="1"/>
  <c r="Q92" i="17"/>
  <c r="P92" i="17" s="1"/>
  <c r="Q93" i="17"/>
  <c r="P93" i="17" s="1"/>
  <c r="Q94" i="17"/>
  <c r="P94" i="17" s="1"/>
  <c r="Q95" i="17"/>
  <c r="P95" i="17" s="1"/>
  <c r="Q96" i="17"/>
  <c r="P96" i="17" s="1"/>
  <c r="Q97" i="17"/>
  <c r="P97" i="17" s="1"/>
  <c r="Q98" i="17"/>
  <c r="P98" i="17" s="1"/>
  <c r="Q99" i="17"/>
  <c r="P99" i="17" s="1"/>
  <c r="Q100" i="17"/>
  <c r="P100" i="17" s="1"/>
  <c r="Q101" i="17"/>
  <c r="P101" i="17" s="1"/>
  <c r="Q102" i="17"/>
  <c r="P102" i="17" s="1"/>
  <c r="Q103" i="17"/>
  <c r="P103" i="17" s="1"/>
  <c r="Q104" i="17"/>
  <c r="P104" i="17" s="1"/>
  <c r="Q105" i="17"/>
  <c r="P105" i="17" s="1"/>
  <c r="Q106" i="17"/>
  <c r="P106" i="17" s="1"/>
  <c r="Q107" i="17"/>
  <c r="P107" i="17" s="1"/>
  <c r="Q108" i="17"/>
  <c r="P108" i="17" s="1"/>
  <c r="Q109" i="17"/>
  <c r="P109" i="17" s="1"/>
  <c r="Q110" i="17"/>
  <c r="Q111" i="17"/>
  <c r="Q112" i="17"/>
  <c r="P112" i="17" s="1"/>
  <c r="Q113" i="17"/>
  <c r="P113" i="17" s="1"/>
  <c r="Q114" i="17"/>
  <c r="P114" i="17" s="1"/>
  <c r="Q120" i="17"/>
  <c r="P120" i="17" s="1"/>
  <c r="Q121" i="17"/>
  <c r="P121" i="17" s="1"/>
  <c r="Q122" i="17"/>
  <c r="P122" i="17" s="1"/>
  <c r="Q123" i="17"/>
  <c r="V123" i="17" s="1"/>
  <c r="Q125" i="17"/>
  <c r="P125" i="17" s="1"/>
  <c r="Q126" i="17"/>
  <c r="V126" i="17" s="1"/>
  <c r="Q127" i="17"/>
  <c r="V127" i="17" s="1"/>
  <c r="Q128" i="17"/>
  <c r="P128" i="17" s="1"/>
  <c r="Q129" i="17"/>
  <c r="P129" i="17" s="1"/>
  <c r="Q130" i="17"/>
  <c r="P130" i="17" s="1"/>
  <c r="Q131" i="17"/>
  <c r="V131" i="17" s="1"/>
  <c r="Q132" i="17"/>
  <c r="P132" i="17" s="1"/>
  <c r="Q133" i="17"/>
  <c r="P133" i="17" s="1"/>
  <c r="Q134" i="17"/>
  <c r="P134" i="17" s="1"/>
  <c r="Q135" i="17"/>
  <c r="P135" i="17" s="1"/>
  <c r="Q136" i="17"/>
  <c r="V136" i="17" s="1"/>
  <c r="Q137" i="17"/>
  <c r="V137" i="17" s="1"/>
  <c r="Q138" i="17"/>
  <c r="V138" i="17" s="1"/>
  <c r="Q183" i="17"/>
  <c r="P183" i="17" s="1"/>
  <c r="Q184" i="17"/>
  <c r="V184" i="17" s="1"/>
  <c r="Q185" i="17"/>
  <c r="V185" i="17" s="1"/>
  <c r="Q186" i="17"/>
  <c r="P186" i="17" s="1"/>
  <c r="Q187" i="17"/>
  <c r="P187" i="17" s="1"/>
  <c r="Q188" i="17"/>
  <c r="P188" i="17" s="1"/>
  <c r="Q189" i="17"/>
  <c r="V189" i="17" s="1"/>
  <c r="Q190" i="17"/>
  <c r="P190" i="17" s="1"/>
  <c r="Q191" i="17"/>
  <c r="P191" i="17" s="1"/>
  <c r="Q192" i="17"/>
  <c r="P192" i="17" s="1"/>
  <c r="Q193" i="17"/>
  <c r="V193" i="17" s="1"/>
  <c r="Q194" i="17"/>
  <c r="P194" i="17" s="1"/>
  <c r="Q622" i="17"/>
  <c r="P622" i="17" s="1"/>
  <c r="Q195" i="17"/>
  <c r="P195" i="17" s="1"/>
  <c r="Q196" i="17"/>
  <c r="V196" i="17" s="1"/>
  <c r="Q197" i="17"/>
  <c r="V197" i="17" s="1"/>
  <c r="Q198" i="17"/>
  <c r="V198" i="17" s="1"/>
  <c r="Q200" i="17"/>
  <c r="P200" i="17" s="1"/>
  <c r="Q201" i="17"/>
  <c r="V201" i="17" s="1"/>
  <c r="Q202" i="17"/>
  <c r="V202" i="17" s="1"/>
  <c r="Q203" i="17"/>
  <c r="V203" i="17" s="1"/>
  <c r="Q204" i="17"/>
  <c r="P204" i="17" s="1"/>
  <c r="Q205" i="17"/>
  <c r="P205" i="17" s="1"/>
  <c r="Q206" i="17"/>
  <c r="P206" i="17" s="1"/>
  <c r="Q207" i="17"/>
  <c r="V207" i="17" s="1"/>
  <c r="Q208" i="17"/>
  <c r="V208" i="17" s="1"/>
  <c r="Q209" i="17"/>
  <c r="V209" i="17" s="1"/>
  <c r="Q210" i="17"/>
  <c r="Q211" i="17"/>
  <c r="Q212" i="17"/>
  <c r="P212" i="17" s="1"/>
  <c r="Q213" i="17"/>
  <c r="P213" i="17" s="1"/>
  <c r="Q214" i="17"/>
  <c r="P214" i="17" s="1"/>
  <c r="Q215" i="17"/>
  <c r="P215" i="17" s="1"/>
  <c r="Q216" i="17"/>
  <c r="P216" i="17" s="1"/>
  <c r="Q217" i="17"/>
  <c r="P217" i="17" s="1"/>
  <c r="Q218" i="17"/>
  <c r="P218" i="17" s="1"/>
  <c r="Q228" i="17"/>
  <c r="P228" i="17" s="1"/>
  <c r="Q230" i="17"/>
  <c r="P230" i="17" s="1"/>
  <c r="Q231" i="17"/>
  <c r="P231" i="17" s="1"/>
  <c r="Q232" i="17"/>
  <c r="V232" i="17" s="1"/>
  <c r="Q233" i="17"/>
  <c r="P233" i="17" s="1"/>
  <c r="Q234" i="17"/>
  <c r="P234" i="17" s="1"/>
  <c r="Q236" i="17"/>
  <c r="P236" i="17" s="1"/>
  <c r="Q238" i="17"/>
  <c r="P238" i="17" s="1"/>
  <c r="Q239" i="17"/>
  <c r="P239" i="17" s="1"/>
  <c r="Q240" i="17"/>
  <c r="Q241" i="17"/>
  <c r="Q242" i="17"/>
  <c r="Q243" i="17"/>
  <c r="Q244" i="17"/>
  <c r="Q245" i="17"/>
  <c r="Q246" i="17"/>
  <c r="P246" i="17" s="1"/>
  <c r="Q247" i="17"/>
  <c r="P247" i="17" s="1"/>
  <c r="Q248" i="17"/>
  <c r="P248" i="17" s="1"/>
  <c r="Q249" i="17"/>
  <c r="P249" i="17" s="1"/>
  <c r="Q250" i="17"/>
  <c r="P250" i="17" s="1"/>
  <c r="Q251" i="17"/>
  <c r="P251" i="17" s="1"/>
  <c r="Q252" i="17"/>
  <c r="P252" i="17" s="1"/>
  <c r="Q253" i="17"/>
  <c r="P253" i="17" s="1"/>
  <c r="Q254" i="17"/>
  <c r="P254" i="17" s="1"/>
  <c r="Q255" i="17"/>
  <c r="P255" i="17" s="1"/>
  <c r="Q256" i="17"/>
  <c r="P256" i="17" s="1"/>
  <c r="Q257" i="17"/>
  <c r="P257" i="17" s="1"/>
  <c r="Q258" i="17"/>
  <c r="P258" i="17" s="1"/>
  <c r="Q259" i="17"/>
  <c r="P259" i="17" s="1"/>
  <c r="Q260" i="17"/>
  <c r="P260" i="17" s="1"/>
  <c r="Q261" i="17"/>
  <c r="P261" i="17" s="1"/>
  <c r="Q262" i="17"/>
  <c r="P262" i="17" s="1"/>
  <c r="Q263" i="17"/>
  <c r="P263" i="17" s="1"/>
  <c r="Q264" i="17"/>
  <c r="P264" i="17" s="1"/>
  <c r="Q265" i="17"/>
  <c r="Q266" i="17"/>
  <c r="Q267" i="17"/>
  <c r="Q268" i="17"/>
  <c r="Q269" i="17"/>
  <c r="Q270" i="17"/>
  <c r="Q271" i="17"/>
  <c r="P271" i="17" s="1"/>
  <c r="Q272" i="17"/>
  <c r="P272" i="17" s="1"/>
  <c r="Q273" i="17"/>
  <c r="P273" i="17" s="1"/>
  <c r="Q274" i="17"/>
  <c r="P274" i="17" s="1"/>
  <c r="Q275" i="17"/>
  <c r="P275" i="17" s="1"/>
  <c r="Q276" i="17"/>
  <c r="P276" i="17" s="1"/>
  <c r="Q277" i="17"/>
  <c r="P277" i="17" s="1"/>
  <c r="Q278" i="17"/>
  <c r="P278" i="17" s="1"/>
  <c r="Q279" i="17"/>
  <c r="P279" i="17" s="1"/>
  <c r="Q280" i="17"/>
  <c r="P280" i="17" s="1"/>
  <c r="Q281" i="17"/>
  <c r="P281" i="17" s="1"/>
  <c r="Q282" i="17"/>
  <c r="P282" i="17" s="1"/>
  <c r="Q283" i="17"/>
  <c r="P283" i="17" s="1"/>
  <c r="Q284" i="17"/>
  <c r="P284" i="17" s="1"/>
  <c r="Q285" i="17"/>
  <c r="P285" i="17" s="1"/>
  <c r="Q286" i="17"/>
  <c r="P286" i="17" s="1"/>
  <c r="Q287" i="17"/>
  <c r="P287" i="17" s="1"/>
  <c r="Q288" i="17"/>
  <c r="P288" i="17" s="1"/>
  <c r="Q289" i="17"/>
  <c r="P289" i="17" s="1"/>
  <c r="Q290" i="17"/>
  <c r="P290" i="17" s="1"/>
  <c r="Q291" i="17"/>
  <c r="P291" i="17" s="1"/>
  <c r="Q292" i="17"/>
  <c r="Q293" i="17"/>
  <c r="P293" i="17" s="1"/>
  <c r="Q294" i="17"/>
  <c r="Q295" i="17"/>
  <c r="Q296" i="17"/>
  <c r="P296" i="17" s="1"/>
  <c r="Q297" i="17"/>
  <c r="P297" i="17" s="1"/>
  <c r="Q298" i="17"/>
  <c r="P298" i="17" s="1"/>
  <c r="Q299" i="17"/>
  <c r="P299" i="17" s="1"/>
  <c r="Q300" i="17"/>
  <c r="P300" i="17" s="1"/>
  <c r="Q301" i="17"/>
  <c r="P301" i="17" s="1"/>
  <c r="Q302" i="17"/>
  <c r="P302" i="17" s="1"/>
  <c r="Q303" i="17"/>
  <c r="P303" i="17" s="1"/>
  <c r="Q304" i="17"/>
  <c r="P304" i="17" s="1"/>
  <c r="Q305" i="17"/>
  <c r="P305" i="17" s="1"/>
  <c r="Q306" i="17"/>
  <c r="P306" i="17" s="1"/>
  <c r="Q307" i="17"/>
  <c r="P307" i="17" s="1"/>
  <c r="Q308" i="17"/>
  <c r="P308" i="17" s="1"/>
  <c r="Q309" i="17"/>
  <c r="P309" i="17" s="1"/>
  <c r="Q310" i="17"/>
  <c r="P310" i="17" s="1"/>
  <c r="Q311" i="17"/>
  <c r="P311" i="17" s="1"/>
  <c r="Q312" i="17"/>
  <c r="P312" i="17" s="1"/>
  <c r="Q313" i="17"/>
  <c r="P313" i="17" s="1"/>
  <c r="Q314" i="17"/>
  <c r="P314" i="17" s="1"/>
  <c r="Q315" i="17"/>
  <c r="P315" i="17" s="1"/>
  <c r="Q316" i="17"/>
  <c r="P316" i="17" s="1"/>
  <c r="Q317" i="17"/>
  <c r="P317" i="17" s="1"/>
  <c r="Q318" i="17"/>
  <c r="P318" i="17" s="1"/>
  <c r="Q319" i="17"/>
  <c r="P319" i="17" s="1"/>
  <c r="Q320" i="17"/>
  <c r="P320" i="17" s="1"/>
  <c r="Q321" i="17"/>
  <c r="P321" i="17" s="1"/>
  <c r="Q322" i="17"/>
  <c r="P322" i="17" s="1"/>
  <c r="Q323" i="17"/>
  <c r="P323" i="17" s="1"/>
  <c r="Q324" i="17"/>
  <c r="P324" i="17" s="1"/>
  <c r="Q325" i="17"/>
  <c r="P325" i="17" s="1"/>
  <c r="Q326" i="17"/>
  <c r="P326" i="17" s="1"/>
  <c r="Q327" i="17"/>
  <c r="Q328" i="17"/>
  <c r="Q329" i="17"/>
  <c r="Q330" i="17"/>
  <c r="Q331" i="17"/>
  <c r="Q332" i="17"/>
  <c r="P332" i="17" s="1"/>
  <c r="Q333" i="17"/>
  <c r="P333" i="17" s="1"/>
  <c r="Q334" i="17"/>
  <c r="P334" i="17" s="1"/>
  <c r="Q335" i="17"/>
  <c r="V335" i="17" s="1"/>
  <c r="Q337" i="17"/>
  <c r="P337" i="17" s="1"/>
  <c r="Q338" i="17"/>
  <c r="P338" i="17" s="1"/>
  <c r="Q339" i="17"/>
  <c r="P339" i="17" s="1"/>
  <c r="Q340" i="17"/>
  <c r="P340" i="17" s="1"/>
  <c r="Q341" i="17"/>
  <c r="P341" i="17" s="1"/>
  <c r="Q342" i="17"/>
  <c r="P342" i="17" s="1"/>
  <c r="Q343" i="17"/>
  <c r="P343" i="17" s="1"/>
  <c r="Q153" i="17"/>
  <c r="P153" i="17" s="1"/>
  <c r="Q154" i="17"/>
  <c r="P154" i="17" s="1"/>
  <c r="Q157" i="17"/>
  <c r="P157" i="17" s="1"/>
  <c r="Q158" i="17"/>
  <c r="P158" i="17" s="1"/>
  <c r="Q344" i="17"/>
  <c r="P344" i="17" s="1"/>
  <c r="Q345" i="17"/>
  <c r="P345" i="17" s="1"/>
  <c r="Q346" i="17"/>
  <c r="P346" i="17" s="1"/>
  <c r="Q347" i="17"/>
  <c r="P347" i="17" s="1"/>
  <c r="Q348" i="17"/>
  <c r="P348" i="17" s="1"/>
  <c r="Q349" i="17"/>
  <c r="Q350" i="17"/>
  <c r="Q351" i="17"/>
  <c r="Q352" i="17"/>
  <c r="Q353" i="17"/>
  <c r="Q354" i="17"/>
  <c r="Q355" i="17"/>
  <c r="P355" i="17" s="1"/>
  <c r="Q356" i="17"/>
  <c r="P356" i="17" s="1"/>
  <c r="Q357" i="17"/>
  <c r="P357" i="17" s="1"/>
  <c r="Q358" i="17"/>
  <c r="P358" i="17" s="1"/>
  <c r="Q359" i="17"/>
  <c r="P359" i="17" s="1"/>
  <c r="Q360" i="17"/>
  <c r="P360" i="17" s="1"/>
  <c r="Q361" i="17"/>
  <c r="P361" i="17" s="1"/>
  <c r="Q362" i="17"/>
  <c r="P362" i="17" s="1"/>
  <c r="Q363" i="17"/>
  <c r="P363" i="17" s="1"/>
  <c r="Q364" i="17"/>
  <c r="P364" i="17" s="1"/>
  <c r="Q365" i="17"/>
  <c r="P365" i="17" s="1"/>
  <c r="Q366" i="17"/>
  <c r="P366" i="17" s="1"/>
  <c r="Q367" i="17"/>
  <c r="P367" i="17" s="1"/>
  <c r="Q368" i="17"/>
  <c r="P368" i="17" s="1"/>
  <c r="Q369" i="17"/>
  <c r="P369" i="17" s="1"/>
  <c r="Q370" i="17"/>
  <c r="P370" i="17" s="1"/>
  <c r="Q371" i="17"/>
  <c r="P371" i="17" s="1"/>
  <c r="Q372" i="17"/>
  <c r="P372" i="17" s="1"/>
  <c r="Q373" i="17"/>
  <c r="P373" i="17" s="1"/>
  <c r="Q374" i="17"/>
  <c r="P374" i="17" s="1"/>
  <c r="Q375" i="17"/>
  <c r="P375" i="17" s="1"/>
  <c r="Q376" i="17"/>
  <c r="P376" i="17" s="1"/>
  <c r="Q377" i="17"/>
  <c r="Q378" i="17"/>
  <c r="Q379" i="17"/>
  <c r="Q380" i="17"/>
  <c r="P380" i="17" s="1"/>
  <c r="Q381" i="17"/>
  <c r="P381" i="17" s="1"/>
  <c r="Q382" i="17"/>
  <c r="P382" i="17" s="1"/>
  <c r="Q383" i="17"/>
  <c r="P383" i="17" s="1"/>
  <c r="Q384" i="17"/>
  <c r="P384" i="17" s="1"/>
  <c r="Q385" i="17"/>
  <c r="P385" i="17" s="1"/>
  <c r="P386" i="17"/>
  <c r="Q387" i="17"/>
  <c r="P387" i="17" s="1"/>
  <c r="Q388" i="17"/>
  <c r="P388" i="17" s="1"/>
  <c r="Q389" i="17"/>
  <c r="P389" i="17" s="1"/>
  <c r="Q390" i="17"/>
  <c r="P390" i="17" s="1"/>
  <c r="Q391" i="17"/>
  <c r="P391" i="17" s="1"/>
  <c r="Q392" i="17"/>
  <c r="P392" i="17" s="1"/>
  <c r="Q393" i="17"/>
  <c r="P393" i="17" s="1"/>
  <c r="Q394" i="17"/>
  <c r="P394" i="17" s="1"/>
  <c r="Q395" i="17"/>
  <c r="P395" i="17" s="1"/>
  <c r="Q396" i="17"/>
  <c r="P396" i="17" s="1"/>
  <c r="Q397" i="17"/>
  <c r="P397" i="17" s="1"/>
  <c r="Q398" i="17"/>
  <c r="P398" i="17" s="1"/>
  <c r="Q399" i="17"/>
  <c r="P399" i="17" s="1"/>
  <c r="Q115" i="17"/>
  <c r="P115" i="17" s="1"/>
  <c r="Q116" i="17"/>
  <c r="P116" i="17" s="1"/>
  <c r="Q117" i="17"/>
  <c r="V117" i="17" s="1"/>
  <c r="Q118" i="17"/>
  <c r="V118" i="17" s="1"/>
  <c r="Q119" i="17"/>
  <c r="V119" i="17" s="1"/>
  <c r="Q140" i="17"/>
  <c r="P140" i="17" s="1"/>
  <c r="Q141" i="17"/>
  <c r="P141" i="17" s="1"/>
  <c r="Q142" i="17"/>
  <c r="P142" i="17" s="1"/>
  <c r="Q143" i="17"/>
  <c r="P143" i="17" s="1"/>
  <c r="Q144" i="17"/>
  <c r="P144" i="17" s="1"/>
  <c r="Q145" i="17"/>
  <c r="P145" i="17" s="1"/>
  <c r="Q146" i="17"/>
  <c r="P146" i="17" s="1"/>
  <c r="Q147" i="17"/>
  <c r="Q148" i="17"/>
  <c r="P148" i="17" s="1"/>
  <c r="Q149" i="17"/>
  <c r="P149" i="17" s="1"/>
  <c r="Q150" i="17"/>
  <c r="Q151" i="17"/>
  <c r="Q152" i="17"/>
  <c r="P152" i="17" s="1"/>
  <c r="Q401" i="17"/>
  <c r="P401" i="17" s="1"/>
  <c r="Q402" i="17"/>
  <c r="P402" i="17" s="1"/>
  <c r="Q403" i="17"/>
  <c r="P403" i="17" s="1"/>
  <c r="Q404" i="17"/>
  <c r="P404" i="17" s="1"/>
  <c r="Q405" i="17"/>
  <c r="P405" i="17" s="1"/>
  <c r="Q406" i="17"/>
  <c r="P406" i="17" s="1"/>
  <c r="Q407" i="17"/>
  <c r="P407" i="17" s="1"/>
  <c r="Q408" i="17"/>
  <c r="P408" i="17" s="1"/>
  <c r="Q409" i="17"/>
  <c r="P409" i="17" s="1"/>
  <c r="Q410" i="17"/>
  <c r="P410" i="17" s="1"/>
  <c r="Q411" i="17"/>
  <c r="P411" i="17" s="1"/>
  <c r="Q412" i="17"/>
  <c r="P412" i="17" s="1"/>
  <c r="Q413" i="17"/>
  <c r="P413" i="17" s="1"/>
  <c r="Q414" i="17"/>
  <c r="P414" i="17" s="1"/>
  <c r="Q415" i="17"/>
  <c r="P415" i="17" s="1"/>
  <c r="Q416" i="17"/>
  <c r="P416" i="17" s="1"/>
  <c r="Q417" i="17"/>
  <c r="P417" i="17" s="1"/>
  <c r="Q418" i="17"/>
  <c r="P418" i="17" s="1"/>
  <c r="Q419" i="17"/>
  <c r="P419" i="17" s="1"/>
  <c r="Q420" i="17"/>
  <c r="P420" i="17" s="1"/>
  <c r="Q421" i="17"/>
  <c r="P421" i="17" s="1"/>
  <c r="Q422" i="17"/>
  <c r="P422" i="17" s="1"/>
  <c r="Q423" i="17"/>
  <c r="P423" i="17" s="1"/>
  <c r="Q424" i="17"/>
  <c r="Q425" i="17"/>
  <c r="Q426" i="17"/>
  <c r="Q427" i="17"/>
  <c r="Q428" i="17"/>
  <c r="P428" i="17" s="1"/>
  <c r="Q429" i="17"/>
  <c r="P429" i="17" s="1"/>
  <c r="Q430" i="17"/>
  <c r="P430" i="17" s="1"/>
  <c r="Q431" i="17"/>
  <c r="P431" i="17" s="1"/>
  <c r="Q432" i="17"/>
  <c r="P432" i="17" s="1"/>
  <c r="Q433" i="17"/>
  <c r="P433" i="17" s="1"/>
  <c r="Q434" i="17"/>
  <c r="P434" i="17" s="1"/>
  <c r="Q435" i="17"/>
  <c r="P435" i="17" s="1"/>
  <c r="Q436" i="17"/>
  <c r="P436" i="17" s="1"/>
  <c r="Q437" i="17"/>
  <c r="P437" i="17" s="1"/>
  <c r="Q438" i="17"/>
  <c r="P438" i="17" s="1"/>
  <c r="Q439" i="17"/>
  <c r="P439" i="17" s="1"/>
  <c r="Q440" i="17"/>
  <c r="P440" i="17" s="1"/>
  <c r="Q441" i="17"/>
  <c r="P441" i="17" s="1"/>
  <c r="Q442" i="17"/>
  <c r="P442" i="17" s="1"/>
  <c r="Q443" i="17"/>
  <c r="P443" i="17" s="1"/>
  <c r="Q444" i="17"/>
  <c r="P444" i="17" s="1"/>
  <c r="Q445" i="17"/>
  <c r="P445" i="17" s="1"/>
  <c r="Q446" i="17"/>
  <c r="P446" i="17" s="1"/>
  <c r="Q447" i="17"/>
  <c r="P447" i="17" s="1"/>
  <c r="Q448" i="17"/>
  <c r="P448" i="17" s="1"/>
  <c r="Q449" i="17"/>
  <c r="P449" i="17" s="1"/>
  <c r="Q450" i="17"/>
  <c r="Q451" i="17"/>
  <c r="Q452" i="17"/>
  <c r="P452" i="17" s="1"/>
  <c r="Q453" i="17"/>
  <c r="P453" i="17" s="1"/>
  <c r="Q454" i="17"/>
  <c r="P454" i="17" s="1"/>
  <c r="Q455" i="17"/>
  <c r="P455" i="17" s="1"/>
  <c r="Q456" i="17"/>
  <c r="P456" i="17" s="1"/>
  <c r="Q457" i="17"/>
  <c r="P457" i="17" s="1"/>
  <c r="Q458" i="17"/>
  <c r="P458" i="17" s="1"/>
  <c r="Q459" i="17"/>
  <c r="P459" i="17" s="1"/>
  <c r="Q460" i="17"/>
  <c r="P460" i="17" s="1"/>
  <c r="Q461" i="17"/>
  <c r="P461" i="17" s="1"/>
  <c r="Q462" i="17"/>
  <c r="P462" i="17" s="1"/>
  <c r="Q463" i="17"/>
  <c r="P463" i="17" s="1"/>
  <c r="Q464" i="17"/>
  <c r="P464" i="17" s="1"/>
  <c r="Q465" i="17"/>
  <c r="Q466" i="17"/>
  <c r="Q467" i="17"/>
  <c r="P467" i="17" s="1"/>
  <c r="Q468" i="17"/>
  <c r="P468" i="17" s="1"/>
  <c r="Q469" i="17"/>
  <c r="Q470" i="17"/>
  <c r="P470" i="17" s="1"/>
  <c r="Q471" i="17"/>
  <c r="Q472" i="17"/>
  <c r="P472" i="17" s="1"/>
  <c r="Q473" i="17"/>
  <c r="P473" i="17" s="1"/>
  <c r="Q474" i="17"/>
  <c r="P474" i="17" s="1"/>
  <c r="Q475" i="17"/>
  <c r="P475" i="17" s="1"/>
  <c r="Q476" i="17"/>
  <c r="P476" i="17" s="1"/>
  <c r="Q477" i="17"/>
  <c r="P477" i="17" s="1"/>
  <c r="Q478" i="17"/>
  <c r="P478" i="17" s="1"/>
  <c r="Q479" i="17"/>
  <c r="P479" i="17" s="1"/>
  <c r="Q480" i="17"/>
  <c r="P480" i="17" s="1"/>
  <c r="Q481" i="17"/>
  <c r="P481" i="17" s="1"/>
  <c r="Q482" i="17"/>
  <c r="P482" i="17" s="1"/>
  <c r="Q483" i="17"/>
  <c r="P483" i="17" s="1"/>
  <c r="Q484" i="17"/>
  <c r="P484" i="17" s="1"/>
  <c r="Q485" i="17"/>
  <c r="P485" i="17" s="1"/>
  <c r="Q486" i="17"/>
  <c r="P486" i="17" s="1"/>
  <c r="Q487" i="17"/>
  <c r="P487" i="17" s="1"/>
  <c r="Q488" i="17"/>
  <c r="P488" i="17" s="1"/>
  <c r="Q489" i="17"/>
  <c r="P489" i="17" s="1"/>
  <c r="Q490" i="17"/>
  <c r="P490" i="17" s="1"/>
  <c r="Q491" i="17"/>
  <c r="P491" i="17" s="1"/>
  <c r="Q492" i="17"/>
  <c r="P492" i="17" s="1"/>
  <c r="Q219" i="17"/>
  <c r="P219" i="17" s="1"/>
  <c r="Q220" i="17"/>
  <c r="P220" i="17" s="1"/>
  <c r="Q221" i="17"/>
  <c r="Q224" i="17"/>
  <c r="Q226" i="17"/>
  <c r="Q493" i="17"/>
  <c r="Q494" i="17"/>
  <c r="P494" i="17" s="1"/>
  <c r="Q495" i="17"/>
  <c r="P495" i="17" s="1"/>
  <c r="Q496" i="17"/>
  <c r="P496" i="17" s="1"/>
  <c r="Q497" i="17"/>
  <c r="P497" i="17" s="1"/>
  <c r="Q550" i="17"/>
  <c r="P550" i="17" s="1"/>
  <c r="Q549" i="17"/>
  <c r="P549" i="17" s="1"/>
  <c r="Q548" i="17"/>
  <c r="P548" i="17" s="1"/>
  <c r="Q547" i="17"/>
  <c r="P547" i="17" s="1"/>
  <c r="Q546" i="17"/>
  <c r="P546" i="17" s="1"/>
  <c r="Q545" i="17"/>
  <c r="P545" i="17" s="1"/>
  <c r="Q544" i="17"/>
  <c r="P544" i="17" s="1"/>
  <c r="Q543" i="17"/>
  <c r="P543" i="17" s="1"/>
  <c r="Q542" i="17"/>
  <c r="P542" i="17" s="1"/>
  <c r="Q541" i="17"/>
  <c r="P541" i="17" s="1"/>
  <c r="Q539" i="17"/>
  <c r="P539" i="17" s="1"/>
  <c r="Q537" i="17"/>
  <c r="P537" i="17" s="1"/>
  <c r="Q536" i="17"/>
  <c r="P536" i="17" s="1"/>
  <c r="Q535" i="17"/>
  <c r="P535" i="17" s="1"/>
  <c r="Q534" i="17"/>
  <c r="P534" i="17" s="1"/>
  <c r="Q533" i="17"/>
  <c r="P533" i="17" s="1"/>
  <c r="Q532" i="17"/>
  <c r="P532" i="17" s="1"/>
  <c r="Q531" i="17"/>
  <c r="P531" i="17" s="1"/>
  <c r="Q530" i="17"/>
  <c r="P530" i="17" s="1"/>
  <c r="Q529" i="17"/>
  <c r="P529" i="17" s="1"/>
  <c r="Q528" i="17"/>
  <c r="P528" i="17" s="1"/>
  <c r="Q527" i="17"/>
  <c r="P527" i="17" s="1"/>
  <c r="Q526" i="17"/>
  <c r="P526" i="17" s="1"/>
  <c r="Q525" i="17"/>
  <c r="P525" i="17" s="1"/>
  <c r="Q524" i="17"/>
  <c r="P524" i="17" s="1"/>
  <c r="Q523" i="17"/>
  <c r="P523" i="17" s="1"/>
  <c r="Q522" i="17"/>
  <c r="P522" i="17" s="1"/>
  <c r="Q521" i="17"/>
  <c r="Q520" i="17"/>
  <c r="Q519" i="17"/>
  <c r="P519" i="17" s="1"/>
  <c r="Q518" i="17"/>
  <c r="P518" i="17" s="1"/>
  <c r="Q517" i="17"/>
  <c r="P517" i="17" s="1"/>
  <c r="Q516" i="17"/>
  <c r="P516" i="17" s="1"/>
  <c r="Q515" i="17"/>
  <c r="Q514" i="17"/>
  <c r="P514" i="17" s="1"/>
  <c r="Q513" i="17"/>
  <c r="P513" i="17" s="1"/>
  <c r="Q512" i="17"/>
  <c r="P512" i="17" s="1"/>
  <c r="Q511" i="17"/>
  <c r="P511" i="17" s="1"/>
  <c r="Q510" i="17"/>
  <c r="P510" i="17" s="1"/>
  <c r="Q509" i="17"/>
  <c r="P509" i="17" s="1"/>
  <c r="Q508" i="17"/>
  <c r="P508" i="17" s="1"/>
  <c r="Q507" i="17"/>
  <c r="P507" i="17" s="1"/>
  <c r="Q506" i="17"/>
  <c r="P506" i="17" s="1"/>
  <c r="Q505" i="17"/>
  <c r="P505" i="17" s="1"/>
  <c r="Q504" i="17"/>
  <c r="P504" i="17" s="1"/>
  <c r="Q503" i="17"/>
  <c r="P503" i="17" s="1"/>
  <c r="Q502" i="17"/>
  <c r="P502" i="17" s="1"/>
  <c r="Q501" i="17"/>
  <c r="P501" i="17" s="1"/>
  <c r="Q500" i="17"/>
  <c r="P500" i="17" s="1"/>
  <c r="Q499" i="17"/>
  <c r="P499" i="17" s="1"/>
  <c r="Q498" i="17"/>
  <c r="P498" i="17" s="1"/>
  <c r="Q160" i="17"/>
  <c r="P160" i="17" s="1"/>
  <c r="Q166" i="17"/>
  <c r="P166" i="17" s="1"/>
  <c r="Q171" i="17"/>
  <c r="P171" i="17" s="1"/>
  <c r="Q174" i="17"/>
  <c r="P174" i="17" s="1"/>
  <c r="Q168" i="17"/>
  <c r="P168" i="17" s="1"/>
  <c r="Q172" i="17"/>
  <c r="P172" i="17" s="1"/>
  <c r="Q165" i="17"/>
  <c r="Q170" i="17"/>
  <c r="Q173" i="17"/>
  <c r="P173" i="17" s="1"/>
  <c r="Q167" i="17"/>
  <c r="Q175" i="17"/>
  <c r="Q169" i="17"/>
  <c r="P169" i="17" s="1"/>
  <c r="Q176" i="17"/>
  <c r="P176" i="17" s="1"/>
  <c r="Q177" i="17"/>
  <c r="P177" i="17" s="1"/>
  <c r="Q178" i="17"/>
  <c r="P178" i="17" s="1"/>
  <c r="Q179" i="17"/>
  <c r="P179" i="17" s="1"/>
  <c r="Q180" i="17"/>
  <c r="P180" i="17" s="1"/>
  <c r="Q181" i="17"/>
  <c r="P181" i="17" s="1"/>
  <c r="Q182" i="17"/>
  <c r="P182" i="17" s="1"/>
  <c r="Q161" i="17"/>
  <c r="P161" i="17" s="1"/>
  <c r="Q163" i="17"/>
  <c r="P163" i="17" s="1"/>
  <c r="Q164" i="17"/>
  <c r="P164" i="17" s="1"/>
  <c r="Q162" i="17"/>
  <c r="P162" i="17" s="1"/>
  <c r="Q551" i="17"/>
  <c r="P551" i="17" s="1"/>
  <c r="Q552" i="17"/>
  <c r="P552" i="17" s="1"/>
  <c r="Q553" i="17"/>
  <c r="P553" i="17" s="1"/>
  <c r="Q554" i="17"/>
  <c r="P554" i="17" s="1"/>
  <c r="Q555" i="17"/>
  <c r="P555" i="17" s="1"/>
  <c r="Q556" i="17"/>
  <c r="P556" i="17" s="1"/>
  <c r="Q557" i="17"/>
  <c r="P557" i="17" s="1"/>
  <c r="Q558" i="17"/>
  <c r="P558" i="17" s="1"/>
  <c r="Q559" i="17"/>
  <c r="P559" i="17" s="1"/>
  <c r="Q560" i="17"/>
  <c r="P560" i="17" s="1"/>
  <c r="Q561" i="17"/>
  <c r="P561" i="17" s="1"/>
  <c r="Q562" i="17"/>
  <c r="P562" i="17" s="1"/>
  <c r="Q563" i="17"/>
  <c r="P563" i="17" s="1"/>
  <c r="Q564" i="17"/>
  <c r="P564" i="17" s="1"/>
  <c r="Q565" i="17"/>
  <c r="P565" i="17" s="1"/>
  <c r="Q566" i="17"/>
  <c r="P566" i="17" s="1"/>
  <c r="Q567" i="17"/>
  <c r="P567" i="17" s="1"/>
  <c r="Q568" i="17"/>
  <c r="V568" i="17" s="1"/>
  <c r="Q569" i="17"/>
  <c r="Q229" i="17"/>
  <c r="P229" i="17" s="1"/>
  <c r="Q83" i="17"/>
  <c r="V83" i="17" s="1"/>
  <c r="Q13" i="36"/>
  <c r="P13" i="36" s="1"/>
  <c r="S13" i="36"/>
  <c r="W13" i="36"/>
  <c r="Q14" i="36"/>
  <c r="P14" i="36" s="1"/>
  <c r="S14" i="36"/>
  <c r="W14" i="36"/>
  <c r="Q15" i="36"/>
  <c r="V15" i="36" s="1"/>
  <c r="S15" i="36"/>
  <c r="W15" i="36"/>
  <c r="Q16" i="36"/>
  <c r="V16" i="36" s="1"/>
  <c r="S16" i="36"/>
  <c r="W16" i="36"/>
  <c r="Q17" i="36"/>
  <c r="P17" i="36" s="1"/>
  <c r="S17" i="36"/>
  <c r="W17" i="36"/>
  <c r="Q18" i="36"/>
  <c r="P18" i="36" s="1"/>
  <c r="S18" i="36"/>
  <c r="W18" i="36"/>
  <c r="Q19" i="36"/>
  <c r="V19" i="36" s="1"/>
  <c r="S19" i="36"/>
  <c r="W19" i="36"/>
  <c r="Q20" i="36"/>
  <c r="P20" i="36" s="1"/>
  <c r="S20" i="36"/>
  <c r="W20" i="36"/>
  <c r="Q21" i="36"/>
  <c r="P21" i="36" s="1"/>
  <c r="S21" i="36"/>
  <c r="W21" i="36"/>
  <c r="Q22" i="36"/>
  <c r="V22" i="36" s="1"/>
  <c r="S22" i="36"/>
  <c r="W22" i="36"/>
  <c r="Q23" i="36"/>
  <c r="V23" i="36" s="1"/>
  <c r="S23" i="36"/>
  <c r="W23" i="36"/>
  <c r="Q24" i="36"/>
  <c r="P24" i="36" s="1"/>
  <c r="S24" i="36"/>
  <c r="W24" i="36"/>
  <c r="Q25" i="36"/>
  <c r="V25" i="36" s="1"/>
  <c r="S25" i="36"/>
  <c r="W25" i="36"/>
  <c r="Q26" i="36"/>
  <c r="P26" i="36" s="1"/>
  <c r="S26" i="36"/>
  <c r="W26" i="36"/>
  <c r="Q27" i="36"/>
  <c r="P27" i="36" s="1"/>
  <c r="S27" i="36"/>
  <c r="W27" i="36"/>
  <c r="Q28" i="36"/>
  <c r="V28" i="36" s="1"/>
  <c r="S28" i="36"/>
  <c r="W28" i="36"/>
  <c r="Q29" i="36"/>
  <c r="V29" i="36" s="1"/>
  <c r="S29" i="36"/>
  <c r="W29" i="36"/>
  <c r="Q30" i="36"/>
  <c r="V30" i="36" s="1"/>
  <c r="S30" i="36"/>
  <c r="W30" i="36"/>
  <c r="Q31" i="36"/>
  <c r="P31" i="36" s="1"/>
  <c r="S31" i="36"/>
  <c r="W31" i="36"/>
  <c r="Q32" i="36"/>
  <c r="P32" i="36" s="1"/>
  <c r="S32" i="36"/>
  <c r="W32" i="36"/>
  <c r="Q33" i="36"/>
  <c r="P33" i="36" s="1"/>
  <c r="S33" i="36"/>
  <c r="W33" i="36"/>
  <c r="Q34" i="36"/>
  <c r="P34" i="36" s="1"/>
  <c r="S34" i="36"/>
  <c r="W34" i="36"/>
  <c r="Q35" i="36"/>
  <c r="P35" i="36" s="1"/>
  <c r="S35" i="36"/>
  <c r="W35" i="36"/>
  <c r="Q36" i="36"/>
  <c r="P36" i="36" s="1"/>
  <c r="S36" i="36"/>
  <c r="W36" i="36"/>
  <c r="Q37" i="36"/>
  <c r="P37" i="36" s="1"/>
  <c r="S37" i="36"/>
  <c r="W37" i="36"/>
  <c r="Q38" i="36"/>
  <c r="V38" i="36" s="1"/>
  <c r="S38" i="36"/>
  <c r="W38" i="36"/>
  <c r="Q39" i="36"/>
  <c r="P39" i="36" s="1"/>
  <c r="S39" i="36"/>
  <c r="W39" i="36"/>
  <c r="Q40" i="36"/>
  <c r="V40" i="36" s="1"/>
  <c r="S40" i="36"/>
  <c r="W40" i="36"/>
  <c r="Q41" i="36"/>
  <c r="V41" i="36" s="1"/>
  <c r="S41" i="36"/>
  <c r="W41" i="36"/>
  <c r="Q42" i="36"/>
  <c r="P42" i="36" s="1"/>
  <c r="S42" i="36"/>
  <c r="W42" i="36"/>
  <c r="Q43" i="36"/>
  <c r="P43" i="36" s="1"/>
  <c r="S43" i="36"/>
  <c r="W43" i="36"/>
  <c r="Q44" i="36"/>
  <c r="V44" i="36" s="1"/>
  <c r="S44" i="36"/>
  <c r="W44" i="36"/>
  <c r="Q45" i="36"/>
  <c r="V45" i="36" s="1"/>
  <c r="S45" i="36"/>
  <c r="W45" i="36"/>
  <c r="Q46" i="36"/>
  <c r="P46" i="36" s="1"/>
  <c r="S46" i="36"/>
  <c r="W46" i="36"/>
  <c r="Q47" i="36"/>
  <c r="V47" i="36" s="1"/>
  <c r="S47" i="36"/>
  <c r="W47" i="36"/>
  <c r="Q48" i="36"/>
  <c r="P48" i="36" s="1"/>
  <c r="S48" i="36"/>
  <c r="W48" i="36"/>
  <c r="Q49" i="36"/>
  <c r="P49" i="36" s="1"/>
  <c r="S49" i="36"/>
  <c r="W49" i="36"/>
  <c r="Q50" i="36"/>
  <c r="V50" i="36" s="1"/>
  <c r="S50" i="36"/>
  <c r="W50" i="36"/>
  <c r="Q51" i="36"/>
  <c r="V51" i="36" s="1"/>
  <c r="S51" i="36"/>
  <c r="W51" i="36"/>
  <c r="Q52" i="36"/>
  <c r="V52" i="36" s="1"/>
  <c r="S52" i="36"/>
  <c r="W52" i="36"/>
  <c r="Q53" i="36"/>
  <c r="P53" i="36" s="1"/>
  <c r="S53" i="36"/>
  <c r="W53" i="36"/>
  <c r="Q54" i="36"/>
  <c r="P54" i="36" s="1"/>
  <c r="S54" i="36"/>
  <c r="W54" i="36"/>
  <c r="Q55" i="36"/>
  <c r="P55" i="36" s="1"/>
  <c r="S55" i="36"/>
  <c r="W55" i="36"/>
  <c r="Q56" i="36"/>
  <c r="P56" i="36" s="1"/>
  <c r="S56" i="36"/>
  <c r="W56" i="36"/>
  <c r="Q57" i="36"/>
  <c r="P57" i="36" s="1"/>
  <c r="S57" i="36"/>
  <c r="W57" i="36"/>
  <c r="Q58" i="36"/>
  <c r="P58" i="36" s="1"/>
  <c r="S58" i="36"/>
  <c r="W58" i="36"/>
  <c r="Q59" i="36"/>
  <c r="P59" i="36" s="1"/>
  <c r="S59" i="36"/>
  <c r="W59" i="36"/>
  <c r="P60" i="36"/>
  <c r="Q60" i="36"/>
  <c r="V60" i="36" s="1"/>
  <c r="S60" i="36"/>
  <c r="W60" i="36"/>
  <c r="Q61" i="36"/>
  <c r="P61" i="36" s="1"/>
  <c r="S61" i="36"/>
  <c r="W61" i="36"/>
  <c r="Q62" i="36"/>
  <c r="P62" i="36" s="1"/>
  <c r="S62" i="36"/>
  <c r="W62" i="36"/>
  <c r="Q63" i="36"/>
  <c r="P63" i="36" s="1"/>
  <c r="S63" i="36"/>
  <c r="W63" i="36"/>
  <c r="P64" i="36"/>
  <c r="Q64" i="36"/>
  <c r="V64" i="36" s="1"/>
  <c r="S64" i="36"/>
  <c r="W64" i="36"/>
  <c r="P65" i="36"/>
  <c r="Q65" i="36"/>
  <c r="V65" i="36" s="1"/>
  <c r="S65" i="36"/>
  <c r="W65" i="36"/>
  <c r="Q66" i="36"/>
  <c r="V66" i="36" s="1"/>
  <c r="S66" i="36"/>
  <c r="W66" i="36"/>
  <c r="Q67" i="36"/>
  <c r="P67" i="36" s="1"/>
  <c r="S67" i="36"/>
  <c r="W67" i="36"/>
  <c r="Q68" i="36"/>
  <c r="P68" i="36" s="1"/>
  <c r="S68" i="36"/>
  <c r="W68" i="36"/>
  <c r="Q69" i="36"/>
  <c r="P69" i="36" s="1"/>
  <c r="S69" i="36"/>
  <c r="W69" i="36"/>
  <c r="Q70" i="36"/>
  <c r="V70" i="36" s="1"/>
  <c r="S70" i="36"/>
  <c r="W70" i="36"/>
  <c r="Q71" i="36"/>
  <c r="P71" i="36" s="1"/>
  <c r="S71" i="36"/>
  <c r="W71" i="36"/>
  <c r="Q72" i="36"/>
  <c r="V72" i="36" s="1"/>
  <c r="S72" i="36"/>
  <c r="W72" i="36"/>
  <c r="Q73" i="36"/>
  <c r="P73" i="36" s="1"/>
  <c r="S73" i="36"/>
  <c r="W73" i="36"/>
  <c r="Q74" i="36"/>
  <c r="P74" i="36" s="1"/>
  <c r="S74" i="36"/>
  <c r="W74" i="36"/>
  <c r="Q75" i="36"/>
  <c r="P75" i="36" s="1"/>
  <c r="S75" i="36"/>
  <c r="W75" i="36"/>
  <c r="Q76" i="36"/>
  <c r="V76" i="36" s="1"/>
  <c r="S76" i="36"/>
  <c r="W76" i="36"/>
  <c r="Q77" i="36"/>
  <c r="P77" i="36" s="1"/>
  <c r="S77" i="36"/>
  <c r="W77" i="36"/>
  <c r="Q78" i="36"/>
  <c r="P78" i="36" s="1"/>
  <c r="S78" i="36"/>
  <c r="W78" i="36"/>
  <c r="Q79" i="36"/>
  <c r="P79" i="36" s="1"/>
  <c r="S79" i="36"/>
  <c r="W79" i="36"/>
  <c r="Q80" i="36"/>
  <c r="V80" i="36" s="1"/>
  <c r="S80" i="36"/>
  <c r="W80" i="36"/>
  <c r="Q81" i="36"/>
  <c r="P81" i="36" s="1"/>
  <c r="S81" i="36"/>
  <c r="W81" i="36"/>
  <c r="Q82" i="36"/>
  <c r="V82" i="36" s="1"/>
  <c r="S82" i="36"/>
  <c r="W82" i="36"/>
  <c r="Q83" i="36"/>
  <c r="P83" i="36" s="1"/>
  <c r="S83" i="36"/>
  <c r="W83" i="36"/>
  <c r="Q84" i="36"/>
  <c r="P84" i="36" s="1"/>
  <c r="S84" i="36"/>
  <c r="W84" i="36"/>
  <c r="Q85" i="36"/>
  <c r="V85" i="36" s="1"/>
  <c r="S85" i="36"/>
  <c r="W85" i="36"/>
  <c r="Q86" i="36"/>
  <c r="P86" i="36" s="1"/>
  <c r="S86" i="36"/>
  <c r="W86" i="36"/>
  <c r="Q87" i="36"/>
  <c r="P87" i="36" s="1"/>
  <c r="S87" i="36"/>
  <c r="W87" i="36"/>
  <c r="Q88" i="36"/>
  <c r="V88" i="36" s="1"/>
  <c r="S88" i="36"/>
  <c r="W88" i="36"/>
  <c r="Q89" i="36"/>
  <c r="P89" i="36" s="1"/>
  <c r="S89" i="36"/>
  <c r="W89" i="36"/>
  <c r="Q90" i="36"/>
  <c r="P90" i="36" s="1"/>
  <c r="S90" i="36"/>
  <c r="W90" i="36"/>
  <c r="Q91" i="36"/>
  <c r="V91" i="36" s="1"/>
  <c r="S91" i="36"/>
  <c r="W91" i="36"/>
  <c r="Q92" i="36"/>
  <c r="P92" i="36" s="1"/>
  <c r="S92" i="36"/>
  <c r="W92" i="36"/>
  <c r="Q93" i="36"/>
  <c r="P93" i="36" s="1"/>
  <c r="S93" i="36"/>
  <c r="W93" i="36"/>
  <c r="P94" i="36"/>
  <c r="Q94" i="36"/>
  <c r="V94" i="36" s="1"/>
  <c r="S94" i="36"/>
  <c r="W94" i="36"/>
  <c r="P95" i="36"/>
  <c r="Q95" i="36"/>
  <c r="V95" i="36" s="1"/>
  <c r="S95" i="36"/>
  <c r="W95" i="36"/>
  <c r="P96" i="36"/>
  <c r="Q96" i="36"/>
  <c r="V96" i="36" s="1"/>
  <c r="S96" i="36"/>
  <c r="W96" i="36"/>
  <c r="Q97" i="36"/>
  <c r="P97" i="36" s="1"/>
  <c r="S97" i="36"/>
  <c r="W97" i="36"/>
  <c r="Q98" i="36"/>
  <c r="P98" i="36" s="1"/>
  <c r="S98" i="36"/>
  <c r="W98" i="36"/>
  <c r="Q99" i="36"/>
  <c r="P99" i="36" s="1"/>
  <c r="S99" i="36"/>
  <c r="W99" i="36"/>
  <c r="Q100" i="36"/>
  <c r="P100" i="36" s="1"/>
  <c r="S100" i="36"/>
  <c r="W100" i="36"/>
  <c r="Q101" i="36"/>
  <c r="S101" i="36"/>
  <c r="W101" i="36"/>
  <c r="Q102" i="36"/>
  <c r="P102" i="36" s="1"/>
  <c r="S102" i="36"/>
  <c r="W102" i="36"/>
  <c r="Q103" i="36"/>
  <c r="P103" i="36" s="1"/>
  <c r="S103" i="36"/>
  <c r="W103" i="36"/>
  <c r="Q104" i="36"/>
  <c r="V104" i="36" s="1"/>
  <c r="S104" i="36"/>
  <c r="W104" i="36"/>
  <c r="Q105" i="36"/>
  <c r="P105" i="36" s="1"/>
  <c r="S105" i="36"/>
  <c r="W105" i="36"/>
  <c r="Q106" i="36"/>
  <c r="P106" i="36" s="1"/>
  <c r="S106" i="36"/>
  <c r="W106" i="36"/>
  <c r="Q107" i="36"/>
  <c r="V107" i="36" s="1"/>
  <c r="S107" i="36"/>
  <c r="W107" i="36"/>
  <c r="Q108" i="36"/>
  <c r="P108" i="36" s="1"/>
  <c r="S108" i="36"/>
  <c r="W108" i="36"/>
  <c r="Q109" i="36"/>
  <c r="P109" i="36" s="1"/>
  <c r="S109" i="36"/>
  <c r="W109" i="36"/>
  <c r="Q110" i="36"/>
  <c r="V110" i="36" s="1"/>
  <c r="S110" i="36"/>
  <c r="W110" i="36"/>
  <c r="P111" i="36"/>
  <c r="Q111" i="36"/>
  <c r="V111" i="36" s="1"/>
  <c r="S111" i="36"/>
  <c r="W111" i="36"/>
  <c r="Q112" i="36"/>
  <c r="P112" i="36" s="1"/>
  <c r="S112" i="36"/>
  <c r="W112" i="36"/>
  <c r="P113" i="36"/>
  <c r="Q113" i="36"/>
  <c r="V113" i="36" s="1"/>
  <c r="S113" i="36"/>
  <c r="W113" i="36"/>
  <c r="P114" i="36"/>
  <c r="Q114" i="36"/>
  <c r="V114" i="36" s="1"/>
  <c r="S114" i="36"/>
  <c r="W114" i="36"/>
  <c r="P115" i="36"/>
  <c r="Q115" i="36"/>
  <c r="V115" i="36" s="1"/>
  <c r="S115" i="36"/>
  <c r="W115" i="36"/>
  <c r="P116" i="36"/>
  <c r="Q116" i="36"/>
  <c r="V116" i="36" s="1"/>
  <c r="S116" i="36"/>
  <c r="W116" i="36"/>
  <c r="Q117" i="36"/>
  <c r="P117" i="36" s="1"/>
  <c r="S117" i="36"/>
  <c r="W117" i="36"/>
  <c r="Q118" i="36"/>
  <c r="V118" i="36" s="1"/>
  <c r="S118" i="36"/>
  <c r="W118" i="36"/>
  <c r="Q119" i="36"/>
  <c r="S119" i="36"/>
  <c r="W119" i="36"/>
  <c r="Q120" i="36"/>
  <c r="V120" i="36" s="1"/>
  <c r="S120" i="36"/>
  <c r="W120" i="36"/>
  <c r="Q121" i="36"/>
  <c r="V121" i="36" s="1"/>
  <c r="S121" i="36"/>
  <c r="W121" i="36"/>
  <c r="Q122" i="36"/>
  <c r="P122" i="36" s="1"/>
  <c r="S122" i="36"/>
  <c r="W122" i="36"/>
  <c r="Q123" i="36"/>
  <c r="S123" i="36"/>
  <c r="W123" i="36"/>
  <c r="Q124" i="36"/>
  <c r="P124" i="36" s="1"/>
  <c r="S124" i="36"/>
  <c r="W124" i="36"/>
  <c r="Q125" i="36"/>
  <c r="P125" i="36" s="1"/>
  <c r="S125" i="36"/>
  <c r="W125" i="36"/>
  <c r="Q126" i="36"/>
  <c r="V126" i="36" s="1"/>
  <c r="S126" i="36"/>
  <c r="W126" i="36"/>
  <c r="Q127" i="36"/>
  <c r="P127" i="36" s="1"/>
  <c r="S127" i="36"/>
  <c r="W127" i="36"/>
  <c r="Q128" i="36"/>
  <c r="P128" i="36" s="1"/>
  <c r="S128" i="36"/>
  <c r="W128" i="36"/>
  <c r="Q129" i="36"/>
  <c r="P129" i="36" s="1"/>
  <c r="S129" i="36"/>
  <c r="W129" i="36"/>
  <c r="Q130" i="36"/>
  <c r="P130" i="36" s="1"/>
  <c r="S130" i="36"/>
  <c r="W130" i="36"/>
  <c r="Q131" i="36"/>
  <c r="P131" i="36" s="1"/>
  <c r="S131" i="36"/>
  <c r="W131" i="36"/>
  <c r="Q132" i="36"/>
  <c r="V132" i="36" s="1"/>
  <c r="S132" i="36"/>
  <c r="W132" i="36"/>
  <c r="Q133" i="36"/>
  <c r="P133" i="36" s="1"/>
  <c r="S133" i="36"/>
  <c r="W133" i="36"/>
  <c r="Q134" i="36"/>
  <c r="S134" i="36"/>
  <c r="W134" i="36"/>
  <c r="Q135" i="36"/>
  <c r="P135" i="36" s="1"/>
  <c r="S135" i="36"/>
  <c r="W135" i="36"/>
  <c r="Q136" i="36"/>
  <c r="P136" i="36" s="1"/>
  <c r="S136" i="36"/>
  <c r="W136" i="36"/>
  <c r="Q137" i="36"/>
  <c r="P137" i="36" s="1"/>
  <c r="S137" i="36"/>
  <c r="W137" i="36"/>
  <c r="Q138" i="36"/>
  <c r="P138" i="36" s="1"/>
  <c r="S138" i="36"/>
  <c r="W138" i="36"/>
  <c r="Q139" i="36"/>
  <c r="P139" i="36" s="1"/>
  <c r="S139" i="36"/>
  <c r="W139" i="36"/>
  <c r="Q140" i="36"/>
  <c r="V140" i="36" s="1"/>
  <c r="S140" i="36"/>
  <c r="W140" i="36"/>
  <c r="Q141" i="36"/>
  <c r="P141" i="36" s="1"/>
  <c r="S141" i="36"/>
  <c r="W141" i="36"/>
  <c r="Q142" i="36"/>
  <c r="V142" i="36" s="1"/>
  <c r="S142" i="36"/>
  <c r="W142" i="36"/>
  <c r="Q143" i="36"/>
  <c r="P143" i="36" s="1"/>
  <c r="S143" i="36"/>
  <c r="W143" i="36"/>
  <c r="Q144" i="36"/>
  <c r="V144" i="36" s="1"/>
  <c r="S144" i="36"/>
  <c r="W144" i="36"/>
  <c r="Q145" i="36"/>
  <c r="V145" i="36" s="1"/>
  <c r="S145" i="36"/>
  <c r="W145" i="36"/>
  <c r="Q146" i="36"/>
  <c r="P146" i="36" s="1"/>
  <c r="S146" i="36"/>
  <c r="W146" i="36"/>
  <c r="Q147" i="36"/>
  <c r="P147" i="36" s="1"/>
  <c r="S147" i="36"/>
  <c r="W147" i="36"/>
  <c r="P148" i="36"/>
  <c r="Q148" i="36"/>
  <c r="V148" i="36" s="1"/>
  <c r="S148" i="36"/>
  <c r="W148" i="36"/>
  <c r="Q149" i="36"/>
  <c r="V149" i="36" s="1"/>
  <c r="S149" i="36"/>
  <c r="W149" i="36"/>
  <c r="Q150" i="36"/>
  <c r="P150" i="36" s="1"/>
  <c r="S150" i="36"/>
  <c r="W150" i="36"/>
  <c r="Q151" i="36"/>
  <c r="P151" i="36" s="1"/>
  <c r="S151" i="36"/>
  <c r="W151" i="36"/>
  <c r="Q152" i="36"/>
  <c r="V152" i="36" s="1"/>
  <c r="S152" i="36"/>
  <c r="W152" i="36"/>
  <c r="Q153" i="36"/>
  <c r="P153" i="36" s="1"/>
  <c r="S153" i="36"/>
  <c r="W153" i="36"/>
  <c r="Q154" i="36"/>
  <c r="V154" i="36" s="1"/>
  <c r="S154" i="36"/>
  <c r="W154" i="36"/>
  <c r="Q155" i="36"/>
  <c r="P155" i="36" s="1"/>
  <c r="S155" i="36"/>
  <c r="W155" i="36"/>
  <c r="Q156" i="36"/>
  <c r="V156" i="36" s="1"/>
  <c r="S156" i="36"/>
  <c r="W156" i="36"/>
  <c r="Q157" i="36"/>
  <c r="P157" i="36" s="1"/>
  <c r="S157" i="36"/>
  <c r="W157" i="36"/>
  <c r="Q158" i="36"/>
  <c r="V158" i="36" s="1"/>
  <c r="S158" i="36"/>
  <c r="W158" i="36"/>
  <c r="Q159" i="36"/>
  <c r="S159" i="36"/>
  <c r="W159" i="36"/>
  <c r="Q160" i="36"/>
  <c r="P160" i="36" s="1"/>
  <c r="S160" i="36"/>
  <c r="W160" i="36"/>
  <c r="Q161" i="36"/>
  <c r="S161" i="36"/>
  <c r="W161" i="36"/>
  <c r="Q162" i="36"/>
  <c r="P162" i="36" s="1"/>
  <c r="S162" i="36"/>
  <c r="W162" i="36"/>
  <c r="Q163" i="36"/>
  <c r="P163" i="36" s="1"/>
  <c r="S163" i="36"/>
  <c r="W163" i="36"/>
  <c r="Q164" i="36"/>
  <c r="P164" i="36" s="1"/>
  <c r="S164" i="36"/>
  <c r="W164" i="36"/>
  <c r="Q165" i="36"/>
  <c r="P165" i="36" s="1"/>
  <c r="S165" i="36"/>
  <c r="W165" i="36"/>
  <c r="Q166" i="36"/>
  <c r="P166" i="36" s="1"/>
  <c r="S166" i="36"/>
  <c r="W166" i="36"/>
  <c r="Q167" i="36"/>
  <c r="V167" i="36" s="1"/>
  <c r="S167" i="36"/>
  <c r="W167" i="36"/>
  <c r="Q168" i="36"/>
  <c r="P168" i="36" s="1"/>
  <c r="S168" i="36"/>
  <c r="W168" i="36"/>
  <c r="Q169" i="36"/>
  <c r="P169" i="36" s="1"/>
  <c r="S169" i="36"/>
  <c r="W169" i="36"/>
  <c r="Q170" i="36"/>
  <c r="P170" i="36" s="1"/>
  <c r="S170" i="36"/>
  <c r="W170" i="36"/>
  <c r="Q171" i="36"/>
  <c r="V171" i="36" s="1"/>
  <c r="S171" i="36"/>
  <c r="W171" i="36"/>
  <c r="Q172" i="36"/>
  <c r="P172" i="36" s="1"/>
  <c r="S172" i="36"/>
  <c r="W172" i="36"/>
  <c r="Q173" i="36"/>
  <c r="P173" i="36" s="1"/>
  <c r="S173" i="36"/>
  <c r="W173" i="36"/>
  <c r="Q174" i="36"/>
  <c r="V174" i="36" s="1"/>
  <c r="S174" i="36"/>
  <c r="W174" i="36"/>
  <c r="Q175" i="36"/>
  <c r="P175" i="36" s="1"/>
  <c r="S175" i="36"/>
  <c r="W175" i="36"/>
  <c r="Q176" i="36"/>
  <c r="V176" i="36" s="1"/>
  <c r="S176" i="36"/>
  <c r="W176" i="36"/>
  <c r="Q177" i="36"/>
  <c r="V177" i="36" s="1"/>
  <c r="S177" i="36"/>
  <c r="W177" i="36"/>
  <c r="Q178" i="36"/>
  <c r="V178" i="36" s="1"/>
  <c r="S178" i="36"/>
  <c r="W178" i="36"/>
  <c r="Q179" i="36"/>
  <c r="V179" i="36" s="1"/>
  <c r="S179" i="36"/>
  <c r="W179" i="36"/>
  <c r="Q180" i="36"/>
  <c r="V180" i="36" s="1"/>
  <c r="S180" i="36"/>
  <c r="W180" i="36"/>
  <c r="Q181" i="36"/>
  <c r="S181" i="36"/>
  <c r="W181" i="36"/>
  <c r="Q182" i="36"/>
  <c r="V182" i="36" s="1"/>
  <c r="S182" i="36"/>
  <c r="W182" i="36"/>
  <c r="Q183" i="36"/>
  <c r="S183" i="36"/>
  <c r="W183" i="36"/>
  <c r="Q184" i="36"/>
  <c r="S184" i="36"/>
  <c r="W184" i="36"/>
  <c r="Q185" i="36"/>
  <c r="P185" i="36" s="1"/>
  <c r="S185" i="36"/>
  <c r="W185" i="36"/>
  <c r="Q186" i="36"/>
  <c r="V186" i="36" s="1"/>
  <c r="S186" i="36"/>
  <c r="W186" i="36"/>
  <c r="Q187" i="36"/>
  <c r="P187" i="36" s="1"/>
  <c r="S187" i="36"/>
  <c r="W187" i="36"/>
  <c r="Q188" i="36"/>
  <c r="P188" i="36" s="1"/>
  <c r="S188" i="36"/>
  <c r="W188" i="36"/>
  <c r="Q189" i="36"/>
  <c r="P189" i="36" s="1"/>
  <c r="S189" i="36"/>
  <c r="W189" i="36"/>
  <c r="Q190" i="36"/>
  <c r="P190" i="36" s="1"/>
  <c r="S190" i="36"/>
  <c r="W190" i="36"/>
  <c r="Q191" i="36"/>
  <c r="P191" i="36" s="1"/>
  <c r="S191" i="36"/>
  <c r="W191" i="36"/>
  <c r="Q192" i="36"/>
  <c r="P192" i="36" s="1"/>
  <c r="S192" i="36"/>
  <c r="W192" i="36"/>
  <c r="Q193" i="36"/>
  <c r="V193" i="36" s="1"/>
  <c r="S193" i="36"/>
  <c r="W193" i="36"/>
  <c r="Q194" i="36"/>
  <c r="V194" i="36" s="1"/>
  <c r="S194" i="36"/>
  <c r="W194" i="36"/>
  <c r="Q195" i="36"/>
  <c r="P195" i="36" s="1"/>
  <c r="S195" i="36"/>
  <c r="W195" i="36"/>
  <c r="Q196" i="36"/>
  <c r="V196" i="36" s="1"/>
  <c r="S196" i="36"/>
  <c r="W196" i="36"/>
  <c r="Q197" i="36"/>
  <c r="P197" i="36" s="1"/>
  <c r="S197" i="36"/>
  <c r="W197" i="36"/>
  <c r="Q198" i="36"/>
  <c r="V198" i="36" s="1"/>
  <c r="S198" i="36"/>
  <c r="W198" i="36"/>
  <c r="Q199" i="36"/>
  <c r="V199" i="36" s="1"/>
  <c r="S199" i="36"/>
  <c r="W199" i="36"/>
  <c r="Q200" i="36"/>
  <c r="V200" i="36" s="1"/>
  <c r="S200" i="36"/>
  <c r="W200" i="36"/>
  <c r="Q201" i="36"/>
  <c r="P201" i="36" s="1"/>
  <c r="S201" i="36"/>
  <c r="W201" i="36"/>
  <c r="Q202" i="36"/>
  <c r="V202" i="36" s="1"/>
  <c r="S202" i="36"/>
  <c r="W202" i="36"/>
  <c r="Q203" i="36"/>
  <c r="P203" i="36" s="1"/>
  <c r="S203" i="36"/>
  <c r="W203" i="36"/>
  <c r="Q204" i="36"/>
  <c r="P204" i="36" s="1"/>
  <c r="S204" i="36"/>
  <c r="W204" i="36"/>
  <c r="Q205" i="36"/>
  <c r="S205" i="36"/>
  <c r="W205" i="36"/>
  <c r="Q206" i="36"/>
  <c r="S206" i="36"/>
  <c r="W206" i="36"/>
  <c r="Q207" i="36"/>
  <c r="P207" i="36" s="1"/>
  <c r="S207" i="36"/>
  <c r="W207" i="36"/>
  <c r="Q208" i="36"/>
  <c r="V208" i="36" s="1"/>
  <c r="S208" i="36"/>
  <c r="W208" i="36"/>
  <c r="Q209" i="36"/>
  <c r="P209" i="36" s="1"/>
  <c r="S209" i="36"/>
  <c r="W209" i="36"/>
  <c r="Q210" i="36"/>
  <c r="P210" i="36" s="1"/>
  <c r="S210" i="36"/>
  <c r="W210" i="36"/>
  <c r="Q211" i="36"/>
  <c r="V211" i="36" s="1"/>
  <c r="S211" i="36"/>
  <c r="W211" i="36"/>
  <c r="Q212" i="36"/>
  <c r="P212" i="36" s="1"/>
  <c r="S212" i="36"/>
  <c r="W212" i="36"/>
  <c r="P213" i="36"/>
  <c r="Q213" i="36"/>
  <c r="V213" i="36" s="1"/>
  <c r="S213" i="36"/>
  <c r="W213" i="36"/>
  <c r="P214" i="36"/>
  <c r="Q214" i="36"/>
  <c r="V214" i="36" s="1"/>
  <c r="S214" i="36"/>
  <c r="W214" i="36"/>
  <c r="P215" i="36"/>
  <c r="Q215" i="36"/>
  <c r="V215" i="36" s="1"/>
  <c r="S215" i="36"/>
  <c r="W215" i="36"/>
  <c r="Q216" i="36"/>
  <c r="P216" i="36" s="1"/>
  <c r="S216" i="36"/>
  <c r="W216" i="36"/>
  <c r="Q217" i="36"/>
  <c r="P217" i="36" s="1"/>
  <c r="S217" i="36"/>
  <c r="W217" i="36"/>
  <c r="Q218" i="36"/>
  <c r="P218" i="36" s="1"/>
  <c r="S218" i="36"/>
  <c r="W218" i="36"/>
  <c r="Q219" i="36"/>
  <c r="P219" i="36" s="1"/>
  <c r="S219" i="36"/>
  <c r="W219" i="36"/>
  <c r="Q220" i="36"/>
  <c r="V220" i="36" s="1"/>
  <c r="S220" i="36"/>
  <c r="W220" i="36"/>
  <c r="Q221" i="36"/>
  <c r="V221" i="36" s="1"/>
  <c r="S221" i="36"/>
  <c r="W221" i="36"/>
  <c r="Q222" i="36"/>
  <c r="V222" i="36" s="1"/>
  <c r="S222" i="36"/>
  <c r="W222" i="36"/>
  <c r="Q223" i="36"/>
  <c r="V223" i="36" s="1"/>
  <c r="S223" i="36"/>
  <c r="W223" i="36"/>
  <c r="Q224" i="36"/>
  <c r="V224" i="36" s="1"/>
  <c r="S224" i="36"/>
  <c r="W224" i="36"/>
  <c r="Q225" i="36"/>
  <c r="V225" i="36" s="1"/>
  <c r="S225" i="36"/>
  <c r="W225" i="36"/>
  <c r="Q226" i="36"/>
  <c r="P226" i="36" s="1"/>
  <c r="S226" i="36"/>
  <c r="W226" i="36"/>
  <c r="Q227" i="36"/>
  <c r="S227" i="36"/>
  <c r="W227" i="36"/>
  <c r="Q228" i="36"/>
  <c r="P228" i="36" s="1"/>
  <c r="S228" i="36"/>
  <c r="W228" i="36"/>
  <c r="Q229" i="36"/>
  <c r="P229" i="36" s="1"/>
  <c r="S229" i="36"/>
  <c r="W229" i="36"/>
  <c r="Q230" i="36"/>
  <c r="P230" i="36" s="1"/>
  <c r="S230" i="36"/>
  <c r="W230" i="36"/>
  <c r="Q231" i="36"/>
  <c r="P231" i="36" s="1"/>
  <c r="S231" i="36"/>
  <c r="W231" i="36"/>
  <c r="Q232" i="36"/>
  <c r="P232" i="36" s="1"/>
  <c r="S232" i="36"/>
  <c r="W232" i="36"/>
  <c r="Q233" i="36"/>
  <c r="P233" i="36" s="1"/>
  <c r="S233" i="36"/>
  <c r="W233" i="36"/>
  <c r="Q234" i="36"/>
  <c r="P234" i="36" s="1"/>
  <c r="S234" i="36"/>
  <c r="W234" i="36"/>
  <c r="Q235" i="36"/>
  <c r="P235" i="36" s="1"/>
  <c r="S235" i="36"/>
  <c r="W235" i="36"/>
  <c r="Q236" i="36"/>
  <c r="P236" i="36" s="1"/>
  <c r="S236" i="36"/>
  <c r="W236" i="36"/>
  <c r="Q237" i="36"/>
  <c r="P237" i="36" s="1"/>
  <c r="S237" i="36"/>
  <c r="W237" i="36"/>
  <c r="Q238" i="36"/>
  <c r="V238" i="36" s="1"/>
  <c r="S238" i="36"/>
  <c r="W238" i="36"/>
  <c r="Q239" i="36"/>
  <c r="P239" i="36" s="1"/>
  <c r="S239" i="36"/>
  <c r="W239" i="36"/>
  <c r="Q240" i="36"/>
  <c r="P240" i="36" s="1"/>
  <c r="S240" i="36"/>
  <c r="W240" i="36"/>
  <c r="Q241" i="36"/>
  <c r="V241" i="36" s="1"/>
  <c r="S241" i="36"/>
  <c r="W241" i="36"/>
  <c r="P242" i="36"/>
  <c r="Q242" i="36"/>
  <c r="V242" i="36" s="1"/>
  <c r="S242" i="36"/>
  <c r="W242" i="36"/>
  <c r="P243" i="36"/>
  <c r="Q243" i="36"/>
  <c r="V243" i="36" s="1"/>
  <c r="S243" i="36"/>
  <c r="W243" i="36"/>
  <c r="P244" i="36"/>
  <c r="Q244" i="36"/>
  <c r="V244" i="36" s="1"/>
  <c r="S244" i="36"/>
  <c r="W244" i="36"/>
  <c r="P245" i="36"/>
  <c r="Q245" i="36"/>
  <c r="V245" i="36" s="1"/>
  <c r="S245" i="36"/>
  <c r="W245" i="36"/>
  <c r="P246" i="36"/>
  <c r="Q246" i="36"/>
  <c r="V246" i="36" s="1"/>
  <c r="S246" i="36"/>
  <c r="W246" i="36"/>
  <c r="P247" i="36"/>
  <c r="Q247" i="36"/>
  <c r="V247" i="36" s="1"/>
  <c r="S247" i="36"/>
  <c r="W247" i="36"/>
  <c r="Q248" i="36"/>
  <c r="P248" i="36" s="1"/>
  <c r="S248" i="36"/>
  <c r="W248" i="36"/>
  <c r="Q249" i="36"/>
  <c r="S249" i="36"/>
  <c r="W249" i="36"/>
  <c r="Q250" i="36"/>
  <c r="P250" i="36" s="1"/>
  <c r="S250" i="36"/>
  <c r="W250" i="36"/>
  <c r="Q251" i="36"/>
  <c r="V251" i="36" s="1"/>
  <c r="S251" i="36"/>
  <c r="W251" i="36"/>
  <c r="Q252" i="36"/>
  <c r="P252" i="36" s="1"/>
  <c r="S252" i="36"/>
  <c r="W252" i="36"/>
  <c r="Q253" i="36"/>
  <c r="P253" i="36" s="1"/>
  <c r="S253" i="36"/>
  <c r="W253" i="36"/>
  <c r="Q254" i="36"/>
  <c r="P254" i="36" s="1"/>
  <c r="S254" i="36"/>
  <c r="W254" i="36"/>
  <c r="Q255" i="36"/>
  <c r="P255" i="36" s="1"/>
  <c r="S255" i="36"/>
  <c r="W255" i="36"/>
  <c r="Q256" i="36"/>
  <c r="P256" i="36" s="1"/>
  <c r="S256" i="36"/>
  <c r="W256" i="36"/>
  <c r="Q257" i="36"/>
  <c r="P257" i="36" s="1"/>
  <c r="S257" i="36"/>
  <c r="W257" i="36"/>
  <c r="Q258" i="36"/>
  <c r="P258" i="36" s="1"/>
  <c r="S258" i="36"/>
  <c r="W258" i="36"/>
  <c r="Q259" i="36"/>
  <c r="P259" i="36" s="1"/>
  <c r="S259" i="36"/>
  <c r="W259" i="36"/>
  <c r="Q260" i="36"/>
  <c r="P260" i="36" s="1"/>
  <c r="S260" i="36"/>
  <c r="W260" i="36"/>
  <c r="Q261" i="36"/>
  <c r="V261" i="36" s="1"/>
  <c r="S261" i="36"/>
  <c r="W261" i="36"/>
  <c r="Q262" i="36"/>
  <c r="P262" i="36" s="1"/>
  <c r="S262" i="36"/>
  <c r="W262" i="36"/>
  <c r="Q263" i="36"/>
  <c r="P263" i="36" s="1"/>
  <c r="S263" i="36"/>
  <c r="W263" i="36"/>
  <c r="Q264" i="36"/>
  <c r="V264" i="36" s="1"/>
  <c r="S264" i="36"/>
  <c r="W264" i="36"/>
  <c r="Q265" i="36"/>
  <c r="V265" i="36" s="1"/>
  <c r="S265" i="36"/>
  <c r="W265" i="36"/>
  <c r="Q266" i="36"/>
  <c r="P266" i="36" s="1"/>
  <c r="S266" i="36"/>
  <c r="W266" i="36"/>
  <c r="Q267" i="36"/>
  <c r="V267" i="36" s="1"/>
  <c r="S267" i="36"/>
  <c r="W267" i="36"/>
  <c r="Q268" i="36"/>
  <c r="V268" i="36" s="1"/>
  <c r="S268" i="36"/>
  <c r="W268" i="36"/>
  <c r="Q269" i="36"/>
  <c r="P269" i="36" s="1"/>
  <c r="S269" i="36"/>
  <c r="W269" i="36"/>
  <c r="P270" i="36"/>
  <c r="Q270" i="36"/>
  <c r="V270" i="36" s="1"/>
  <c r="S270" i="36"/>
  <c r="W270" i="36"/>
  <c r="Q271" i="36"/>
  <c r="V271" i="36" s="1"/>
  <c r="S271" i="36"/>
  <c r="W271" i="36"/>
  <c r="Q272" i="36"/>
  <c r="P272" i="36" s="1"/>
  <c r="S272" i="36"/>
  <c r="W272" i="36"/>
  <c r="Q273" i="36"/>
  <c r="P273" i="36" s="1"/>
  <c r="S273" i="36"/>
  <c r="W273" i="36"/>
  <c r="Q274" i="36"/>
  <c r="V274" i="36" s="1"/>
  <c r="S274" i="36"/>
  <c r="W274" i="36"/>
  <c r="Q275" i="36"/>
  <c r="P275" i="36" s="1"/>
  <c r="S275" i="36"/>
  <c r="W275" i="36"/>
  <c r="Q276" i="36"/>
  <c r="P276" i="36" s="1"/>
  <c r="S276" i="36"/>
  <c r="W276" i="36"/>
  <c r="Q277" i="36"/>
  <c r="V277" i="36" s="1"/>
  <c r="S277" i="36"/>
  <c r="W277" i="36"/>
  <c r="Q278" i="36"/>
  <c r="P278" i="36" s="1"/>
  <c r="S278" i="36"/>
  <c r="W278" i="36"/>
  <c r="Q279" i="36"/>
  <c r="P279" i="36" s="1"/>
  <c r="S279" i="36"/>
  <c r="W279" i="36"/>
  <c r="Q280" i="36"/>
  <c r="P280" i="36" s="1"/>
  <c r="S280" i="36"/>
  <c r="W280" i="36"/>
  <c r="Q281" i="36"/>
  <c r="P281" i="36" s="1"/>
  <c r="S281" i="36"/>
  <c r="W281" i="36"/>
  <c r="Q282" i="36"/>
  <c r="P282" i="36" s="1"/>
  <c r="S282" i="36"/>
  <c r="W282" i="36"/>
  <c r="Q283" i="36"/>
  <c r="P283" i="36" s="1"/>
  <c r="S283" i="36"/>
  <c r="W283" i="36"/>
  <c r="Q284" i="36"/>
  <c r="P284" i="36" s="1"/>
  <c r="S284" i="36"/>
  <c r="W284" i="36"/>
  <c r="Q285" i="36"/>
  <c r="P285" i="36" s="1"/>
  <c r="S285" i="36"/>
  <c r="W285" i="36"/>
  <c r="Q286" i="36"/>
  <c r="P286" i="36" s="1"/>
  <c r="S286" i="36"/>
  <c r="W286" i="36"/>
  <c r="Q287" i="36"/>
  <c r="V287" i="36" s="1"/>
  <c r="S287" i="36"/>
  <c r="W287" i="36"/>
  <c r="Q288" i="36"/>
  <c r="V288" i="36" s="1"/>
  <c r="S288" i="36"/>
  <c r="W288" i="36"/>
  <c r="Q289" i="36"/>
  <c r="P289" i="36" s="1"/>
  <c r="S289" i="36"/>
  <c r="W289" i="36"/>
  <c r="Q290" i="36"/>
  <c r="V290" i="36" s="1"/>
  <c r="S290" i="36"/>
  <c r="W290" i="36"/>
  <c r="P291" i="36"/>
  <c r="Q291" i="36"/>
  <c r="V291" i="36" s="1"/>
  <c r="S291" i="36"/>
  <c r="W291" i="36"/>
  <c r="Q292" i="36"/>
  <c r="P292" i="36" s="1"/>
  <c r="S292" i="36"/>
  <c r="W292" i="36"/>
  <c r="Q293" i="36"/>
  <c r="V293" i="36" s="1"/>
  <c r="S293" i="36"/>
  <c r="W293" i="36"/>
  <c r="Q294" i="36"/>
  <c r="P294" i="36" s="1"/>
  <c r="S294" i="36"/>
  <c r="W294" i="36"/>
  <c r="Q295" i="36"/>
  <c r="P295" i="36" s="1"/>
  <c r="S295" i="36"/>
  <c r="W295" i="36"/>
  <c r="Q296" i="36"/>
  <c r="P296" i="36" s="1"/>
  <c r="S296" i="36"/>
  <c r="W296" i="36"/>
  <c r="Q297" i="36"/>
  <c r="P297" i="36" s="1"/>
  <c r="S297" i="36"/>
  <c r="W297" i="36"/>
  <c r="Q298" i="36"/>
  <c r="V298" i="36" s="1"/>
  <c r="S298" i="36"/>
  <c r="W298" i="36"/>
  <c r="Q299" i="36"/>
  <c r="P299" i="36" s="1"/>
  <c r="S299" i="36"/>
  <c r="W299" i="36"/>
  <c r="Q300" i="36"/>
  <c r="P300" i="36" s="1"/>
  <c r="S300" i="36"/>
  <c r="W300" i="36"/>
  <c r="Q301" i="36"/>
  <c r="V301" i="36" s="1"/>
  <c r="S301" i="36"/>
  <c r="W301" i="36"/>
  <c r="Q302" i="36"/>
  <c r="P302" i="36" s="1"/>
  <c r="S302" i="36"/>
  <c r="W302" i="36"/>
  <c r="Q303" i="36"/>
  <c r="P303" i="36" s="1"/>
  <c r="S303" i="36"/>
  <c r="W303" i="36"/>
  <c r="Q304" i="36"/>
  <c r="P304" i="36" s="1"/>
  <c r="S304" i="36"/>
  <c r="W304" i="36"/>
  <c r="Q305" i="36"/>
  <c r="P305" i="36" s="1"/>
  <c r="S305" i="36"/>
  <c r="W305" i="36"/>
  <c r="Q306" i="36"/>
  <c r="P306" i="36" s="1"/>
  <c r="S306" i="36"/>
  <c r="W306" i="36"/>
  <c r="Q307" i="36"/>
  <c r="P307" i="36" s="1"/>
  <c r="S307" i="36"/>
  <c r="W307" i="36"/>
  <c r="Q308" i="36"/>
  <c r="P308" i="36" s="1"/>
  <c r="S308" i="36"/>
  <c r="W308" i="36"/>
  <c r="Q309" i="36"/>
  <c r="V309" i="36" s="1"/>
  <c r="S309" i="36"/>
  <c r="W309" i="36"/>
  <c r="Q310" i="36"/>
  <c r="V310" i="36" s="1"/>
  <c r="S310" i="36"/>
  <c r="W310" i="36"/>
  <c r="Q311" i="36"/>
  <c r="P311" i="36" s="1"/>
  <c r="S311" i="36"/>
  <c r="W311" i="36"/>
  <c r="Q312" i="36"/>
  <c r="V312" i="36" s="1"/>
  <c r="S312" i="36"/>
  <c r="W312" i="36"/>
  <c r="Q313" i="36"/>
  <c r="V313" i="36" s="1"/>
  <c r="S313" i="36"/>
  <c r="W313" i="36"/>
  <c r="Q314" i="36"/>
  <c r="P314" i="36" s="1"/>
  <c r="S314" i="36"/>
  <c r="W314" i="36"/>
  <c r="Q315" i="36"/>
  <c r="V315" i="36" s="1"/>
  <c r="S315" i="36"/>
  <c r="W315" i="36"/>
  <c r="Q316" i="36"/>
  <c r="P316" i="36" s="1"/>
  <c r="S316" i="36"/>
  <c r="W316" i="36"/>
  <c r="Q317" i="36"/>
  <c r="P317" i="36" s="1"/>
  <c r="S317" i="36"/>
  <c r="W317" i="36"/>
  <c r="Q318" i="36"/>
  <c r="P318" i="36" s="1"/>
  <c r="S318" i="36"/>
  <c r="W318" i="36"/>
  <c r="Q319" i="36"/>
  <c r="P319" i="36" s="1"/>
  <c r="S319" i="36"/>
  <c r="W319" i="36"/>
  <c r="Q320" i="36"/>
  <c r="V320" i="36" s="1"/>
  <c r="S320" i="36"/>
  <c r="W320" i="36"/>
  <c r="Q321" i="36"/>
  <c r="P321" i="36" s="1"/>
  <c r="S321" i="36"/>
  <c r="W321" i="36"/>
  <c r="Q322" i="36"/>
  <c r="P322" i="36" s="1"/>
  <c r="S322" i="36"/>
  <c r="W322" i="36"/>
  <c r="Q323" i="36"/>
  <c r="V323" i="36" s="1"/>
  <c r="S323" i="36"/>
  <c r="W323" i="36"/>
  <c r="Q324" i="36"/>
  <c r="P324" i="36" s="1"/>
  <c r="S324" i="36"/>
  <c r="W324" i="36"/>
  <c r="Q325" i="36"/>
  <c r="P325" i="36" s="1"/>
  <c r="S325" i="36"/>
  <c r="W325" i="36"/>
  <c r="Q326" i="36"/>
  <c r="V326" i="36" s="1"/>
  <c r="S326" i="36"/>
  <c r="W326" i="36"/>
  <c r="Q327" i="36"/>
  <c r="V327" i="36" s="1"/>
  <c r="S327" i="36"/>
  <c r="W327" i="36"/>
  <c r="Q328" i="36"/>
  <c r="P328" i="36" s="1"/>
  <c r="S328" i="36"/>
  <c r="W328" i="36"/>
  <c r="Q329" i="36"/>
  <c r="P329" i="36" s="1"/>
  <c r="S329" i="36"/>
  <c r="W329" i="36"/>
  <c r="Q330" i="36"/>
  <c r="P330" i="36" s="1"/>
  <c r="S330" i="36"/>
  <c r="W330" i="36"/>
  <c r="Q331" i="36"/>
  <c r="V331" i="36" s="1"/>
  <c r="S331" i="36"/>
  <c r="W331" i="36"/>
  <c r="Q332" i="36"/>
  <c r="P332" i="36" s="1"/>
  <c r="S332" i="36"/>
  <c r="W332" i="36"/>
  <c r="Q333" i="36"/>
  <c r="P333" i="36" s="1"/>
  <c r="S333" i="36"/>
  <c r="W333" i="36"/>
  <c r="Q334" i="36"/>
  <c r="V334" i="36" s="1"/>
  <c r="S334" i="36"/>
  <c r="W334" i="36"/>
  <c r="Q335" i="36"/>
  <c r="P335" i="36" s="1"/>
  <c r="S335" i="36"/>
  <c r="W335" i="36"/>
  <c r="Q336" i="36"/>
  <c r="V336" i="36" s="1"/>
  <c r="S336" i="36"/>
  <c r="W336" i="36"/>
  <c r="Q337" i="36"/>
  <c r="V337" i="36" s="1"/>
  <c r="S337" i="36"/>
  <c r="W337" i="36"/>
  <c r="Q338" i="36"/>
  <c r="P338" i="36" s="1"/>
  <c r="S338" i="36"/>
  <c r="W338" i="36"/>
  <c r="Q339" i="36"/>
  <c r="P339" i="36" s="1"/>
  <c r="S339" i="36"/>
  <c r="W339" i="36"/>
  <c r="Q340" i="36"/>
  <c r="P340" i="36" s="1"/>
  <c r="S340" i="36"/>
  <c r="W340" i="36"/>
  <c r="Q341" i="36"/>
  <c r="P341" i="36" s="1"/>
  <c r="S341" i="36"/>
  <c r="W341" i="36"/>
  <c r="Q342" i="36"/>
  <c r="P342" i="36" s="1"/>
  <c r="S342" i="36"/>
  <c r="W342" i="36"/>
  <c r="Q343" i="36"/>
  <c r="P343" i="36" s="1"/>
  <c r="S343" i="36"/>
  <c r="W343" i="36"/>
  <c r="Q344" i="36"/>
  <c r="P344" i="36" s="1"/>
  <c r="S344" i="36"/>
  <c r="W344" i="36"/>
  <c r="Q345" i="36"/>
  <c r="P345" i="36" s="1"/>
  <c r="S345" i="36"/>
  <c r="W345" i="36"/>
  <c r="Q346" i="36"/>
  <c r="V346" i="36" s="1"/>
  <c r="S346" i="36"/>
  <c r="W346" i="36"/>
  <c r="Q347" i="36"/>
  <c r="P347" i="36" s="1"/>
  <c r="S347" i="36"/>
  <c r="W347" i="36"/>
  <c r="Q348" i="36"/>
  <c r="P348" i="36" s="1"/>
  <c r="S348" i="36"/>
  <c r="W348" i="36"/>
  <c r="Q349" i="36"/>
  <c r="V349" i="36" s="1"/>
  <c r="S349" i="36"/>
  <c r="W349" i="36"/>
  <c r="Q350" i="36"/>
  <c r="P350" i="36" s="1"/>
  <c r="S350" i="36"/>
  <c r="W350" i="36"/>
  <c r="Q351" i="36"/>
  <c r="P351" i="36" s="1"/>
  <c r="S351" i="36"/>
  <c r="W351" i="36"/>
  <c r="Q352" i="36"/>
  <c r="V352" i="36" s="1"/>
  <c r="S352" i="36"/>
  <c r="W352" i="36"/>
  <c r="Q353" i="36"/>
  <c r="V353" i="36" s="1"/>
  <c r="S353" i="36"/>
  <c r="W353" i="36"/>
  <c r="Q354" i="36"/>
  <c r="P354" i="36" s="1"/>
  <c r="S354" i="36"/>
  <c r="W354" i="36"/>
  <c r="Q355" i="36"/>
  <c r="P355" i="36" s="1"/>
  <c r="S355" i="36"/>
  <c r="W355" i="36"/>
  <c r="P356" i="36"/>
  <c r="Q356" i="36"/>
  <c r="V356" i="36" s="1"/>
  <c r="S356" i="36"/>
  <c r="W356" i="36"/>
  <c r="Q357" i="36"/>
  <c r="P357" i="36" s="1"/>
  <c r="S357" i="36"/>
  <c r="W357" i="36"/>
  <c r="Q358" i="36"/>
  <c r="P358" i="36" s="1"/>
  <c r="S358" i="36"/>
  <c r="W358" i="36"/>
  <c r="Q359" i="36"/>
  <c r="V359" i="36" s="1"/>
  <c r="S359" i="36"/>
  <c r="W359" i="36"/>
  <c r="Q360" i="36"/>
  <c r="P360" i="36" s="1"/>
  <c r="S360" i="36"/>
  <c r="W360" i="36"/>
  <c r="Q361" i="36"/>
  <c r="P361" i="36" s="1"/>
  <c r="S361" i="36"/>
  <c r="W361" i="36"/>
  <c r="Q362" i="36"/>
  <c r="V362" i="36" s="1"/>
  <c r="S362" i="36"/>
  <c r="W362" i="36"/>
  <c r="Q363" i="36"/>
  <c r="P363" i="36" s="1"/>
  <c r="S363" i="36"/>
  <c r="W363" i="36"/>
  <c r="Q364" i="36"/>
  <c r="P364" i="36" s="1"/>
  <c r="S364" i="36"/>
  <c r="W364" i="36"/>
  <c r="Q365" i="36"/>
  <c r="P365" i="36" s="1"/>
  <c r="S365" i="36"/>
  <c r="W365" i="36"/>
  <c r="Q366" i="36"/>
  <c r="P366" i="36" s="1"/>
  <c r="S366" i="36"/>
  <c r="W366" i="36"/>
  <c r="Q367" i="36"/>
  <c r="P367" i="36" s="1"/>
  <c r="S367" i="36"/>
  <c r="W367" i="36"/>
  <c r="Q368" i="36"/>
  <c r="P368" i="36" s="1"/>
  <c r="S368" i="36"/>
  <c r="W368" i="36"/>
  <c r="Q369" i="36"/>
  <c r="P369" i="36" s="1"/>
  <c r="S369" i="36"/>
  <c r="W369" i="36"/>
  <c r="Q370" i="36"/>
  <c r="P370" i="36" s="1"/>
  <c r="S370" i="36"/>
  <c r="W370" i="36"/>
  <c r="Q371" i="36"/>
  <c r="P371" i="36" s="1"/>
  <c r="S371" i="36"/>
  <c r="W371" i="36"/>
  <c r="Q372" i="36"/>
  <c r="V372" i="36" s="1"/>
  <c r="S372" i="36"/>
  <c r="W372" i="36"/>
  <c r="Q373" i="36"/>
  <c r="P373" i="36" s="1"/>
  <c r="S373" i="36"/>
  <c r="W373" i="36"/>
  <c r="Q374" i="36"/>
  <c r="P374" i="36" s="1"/>
  <c r="S374" i="36"/>
  <c r="W374" i="36"/>
  <c r="Q375" i="36"/>
  <c r="V375" i="36" s="1"/>
  <c r="S375" i="36"/>
  <c r="W375" i="36"/>
  <c r="Q376" i="36"/>
  <c r="P376" i="36" s="1"/>
  <c r="S376" i="36"/>
  <c r="W376" i="36"/>
  <c r="Q377" i="36"/>
  <c r="P377" i="36" s="1"/>
  <c r="S377" i="36"/>
  <c r="W377" i="36"/>
  <c r="Q378" i="36"/>
  <c r="V378" i="36" s="1"/>
  <c r="S378" i="36"/>
  <c r="W378" i="36"/>
  <c r="Q379" i="36"/>
  <c r="P379" i="36" s="1"/>
  <c r="S379" i="36"/>
  <c r="W379" i="36"/>
  <c r="Q380" i="36"/>
  <c r="P380" i="36" s="1"/>
  <c r="S380" i="36"/>
  <c r="W380" i="36"/>
  <c r="Q381" i="36"/>
  <c r="V381" i="36" s="1"/>
  <c r="S381" i="36"/>
  <c r="W381" i="36"/>
  <c r="Q382" i="36"/>
  <c r="P382" i="36" s="1"/>
  <c r="S382" i="36"/>
  <c r="W382" i="36"/>
  <c r="Q383" i="36"/>
  <c r="P383" i="36" s="1"/>
  <c r="S383" i="36"/>
  <c r="W383" i="36"/>
  <c r="Q384" i="36"/>
  <c r="V384" i="36" s="1"/>
  <c r="S384" i="36"/>
  <c r="W384" i="36"/>
  <c r="Q385" i="36"/>
  <c r="P385" i="36" s="1"/>
  <c r="S385" i="36"/>
  <c r="W385" i="36"/>
  <c r="Q386" i="36"/>
  <c r="P386" i="36" s="1"/>
  <c r="S386" i="36"/>
  <c r="W386" i="36"/>
  <c r="Q387" i="36"/>
  <c r="P387" i="36" s="1"/>
  <c r="S387" i="36"/>
  <c r="W387" i="36"/>
  <c r="P388" i="36"/>
  <c r="Q388" i="36"/>
  <c r="V388" i="36" s="1"/>
  <c r="S388" i="36"/>
  <c r="W388" i="36"/>
  <c r="Q389" i="36"/>
  <c r="P389" i="36" s="1"/>
  <c r="S389" i="36"/>
  <c r="W389" i="36"/>
  <c r="Q390" i="36"/>
  <c r="P390" i="36" s="1"/>
  <c r="S390" i="36"/>
  <c r="W390" i="36"/>
  <c r="Q391" i="36"/>
  <c r="V391" i="36" s="1"/>
  <c r="S391" i="36"/>
  <c r="W391" i="36"/>
  <c r="Q392" i="36"/>
  <c r="P392" i="36" s="1"/>
  <c r="S392" i="36"/>
  <c r="W392" i="36"/>
  <c r="P393" i="36"/>
  <c r="Q393" i="36"/>
  <c r="V393" i="36" s="1"/>
  <c r="S393" i="36"/>
  <c r="W393" i="36"/>
  <c r="B4" i="36"/>
  <c r="F4" i="36"/>
  <c r="V15" i="17" l="1"/>
  <c r="P15" i="17"/>
  <c r="P184" i="17"/>
  <c r="G8" i="38"/>
  <c r="P209" i="17"/>
  <c r="P207" i="17"/>
  <c r="P208" i="17"/>
  <c r="P203" i="17"/>
  <c r="V503" i="17"/>
  <c r="V446" i="17"/>
  <c r="V302" i="17"/>
  <c r="V501" i="17"/>
  <c r="V297" i="36"/>
  <c r="V289" i="36"/>
  <c r="V173" i="36"/>
  <c r="V43" i="36"/>
  <c r="V374" i="36"/>
  <c r="V370" i="36"/>
  <c r="V357" i="36"/>
  <c r="V262" i="36"/>
  <c r="V258" i="36"/>
  <c r="V254" i="36"/>
  <c r="V229" i="36"/>
  <c r="V332" i="36"/>
  <c r="V283" i="36"/>
  <c r="V175" i="36"/>
  <c r="V14" i="36"/>
  <c r="V13" i="36"/>
  <c r="V86" i="36"/>
  <c r="V127" i="36"/>
  <c r="P144" i="36"/>
  <c r="V260" i="36"/>
  <c r="V285" i="36"/>
  <c r="V281" i="36"/>
  <c r="P15" i="36"/>
  <c r="V373" i="36"/>
  <c r="V369" i="36"/>
  <c r="V191" i="36"/>
  <c r="V131" i="36"/>
  <c r="V34" i="36"/>
  <c r="P70" i="36"/>
  <c r="P30" i="36"/>
  <c r="P40" i="36"/>
  <c r="V299" i="36"/>
  <c r="P80" i="36"/>
  <c r="V371" i="36"/>
  <c r="V363" i="36"/>
  <c r="V355" i="36"/>
  <c r="V342" i="36"/>
  <c r="V185" i="36"/>
  <c r="V168" i="36"/>
  <c r="V367" i="36"/>
  <c r="V83" i="36"/>
  <c r="V236" i="36"/>
  <c r="V150" i="36"/>
  <c r="P120" i="36"/>
  <c r="V383" i="36"/>
  <c r="V311" i="36"/>
  <c r="V273" i="36"/>
  <c r="V358" i="36"/>
  <c r="V240" i="36"/>
  <c r="V74" i="36"/>
  <c r="V444" i="17"/>
  <c r="V231" i="17"/>
  <c r="V71" i="17"/>
  <c r="V412" i="17"/>
  <c r="V249" i="17"/>
  <c r="V68" i="17"/>
  <c r="V23" i="17"/>
  <c r="V502" i="17"/>
  <c r="V356" i="17"/>
  <c r="V340" i="17"/>
  <c r="V316" i="17"/>
  <c r="V96" i="17"/>
  <c r="V72" i="17"/>
  <c r="V32" i="17"/>
  <c r="V441" i="17"/>
  <c r="V405" i="17"/>
  <c r="V88" i="17"/>
  <c r="V271" i="17"/>
  <c r="V215" i="17"/>
  <c r="V214" i="17"/>
  <c r="V66" i="17"/>
  <c r="V41" i="17"/>
  <c r="V195" i="17"/>
  <c r="V376" i="17"/>
  <c r="V313" i="17"/>
  <c r="V133" i="17"/>
  <c r="V312" i="17"/>
  <c r="V132" i="17"/>
  <c r="V135" i="17"/>
  <c r="V106" i="17"/>
  <c r="V333" i="17"/>
  <c r="V134" i="17"/>
  <c r="V290" i="17"/>
  <c r="V105" i="17"/>
  <c r="V216" i="17"/>
  <c r="V289" i="17"/>
  <c r="V509" i="17"/>
  <c r="V449" i="17"/>
  <c r="V218" i="17"/>
  <c r="V301" i="17"/>
  <c r="V293" i="17"/>
  <c r="V566" i="17"/>
  <c r="V109" i="17"/>
  <c r="V454" i="17"/>
  <c r="V128" i="17"/>
  <c r="V263" i="17"/>
  <c r="V101" i="17"/>
  <c r="V622" i="17"/>
  <c r="V58" i="17"/>
  <c r="V104" i="17"/>
  <c r="V411" i="17"/>
  <c r="V192" i="17"/>
  <c r="V52" i="17"/>
  <c r="V308" i="17"/>
  <c r="V410" i="17"/>
  <c r="V298" i="17"/>
  <c r="V114" i="17"/>
  <c r="V50" i="17"/>
  <c r="V430" i="17"/>
  <c r="V525" i="17"/>
  <c r="V408" i="17"/>
  <c r="V49" i="17"/>
  <c r="V506" i="17"/>
  <c r="V403" i="17"/>
  <c r="V526" i="17"/>
  <c r="V374" i="17"/>
  <c r="V121" i="17"/>
  <c r="V299" i="17"/>
  <c r="V120" i="17"/>
  <c r="V51" i="17"/>
  <c r="V504" i="17"/>
  <c r="V142" i="17"/>
  <c r="V278" i="17"/>
  <c r="V28" i="17"/>
  <c r="V528" i="17"/>
  <c r="V373" i="17"/>
  <c r="V256" i="17"/>
  <c r="V187" i="17"/>
  <c r="V95" i="17"/>
  <c r="V19" i="17"/>
  <c r="V496" i="17"/>
  <c r="V360" i="17"/>
  <c r="V254" i="17"/>
  <c r="V492" i="17"/>
  <c r="V85" i="17"/>
  <c r="V472" i="17"/>
  <c r="V343" i="17"/>
  <c r="V247" i="17"/>
  <c r="V82" i="17"/>
  <c r="V246" i="17"/>
  <c r="V79" i="17"/>
  <c r="V550" i="17"/>
  <c r="V363" i="17"/>
  <c r="V255" i="17"/>
  <c r="V186" i="17"/>
  <c r="V94" i="17"/>
  <c r="V18" i="17"/>
  <c r="V334" i="17"/>
  <c r="V74" i="17"/>
  <c r="V233" i="17"/>
  <c r="V73" i="17"/>
  <c r="V370" i="17"/>
  <c r="V212" i="17"/>
  <c r="V194" i="17"/>
  <c r="V548" i="17"/>
  <c r="V287" i="17"/>
  <c r="V565" i="17"/>
  <c r="V483" i="17"/>
  <c r="V141" i="17"/>
  <c r="V276" i="17"/>
  <c r="V560" i="17"/>
  <c r="V480" i="17"/>
  <c r="V399" i="17"/>
  <c r="V330" i="17"/>
  <c r="V264" i="17"/>
  <c r="V204" i="17"/>
  <c r="V30" i="17"/>
  <c r="V154" i="17"/>
  <c r="V279" i="17"/>
  <c r="V277" i="17"/>
  <c r="V103" i="17"/>
  <c r="V60" i="17"/>
  <c r="V93" i="17"/>
  <c r="V491" i="17"/>
  <c r="V348" i="17"/>
  <c r="V371" i="17"/>
  <c r="V300" i="17"/>
  <c r="V102" i="17"/>
  <c r="V59" i="17"/>
  <c r="V158" i="17"/>
  <c r="V157" i="17"/>
  <c r="V286" i="17"/>
  <c r="V92" i="17"/>
  <c r="V563" i="17"/>
  <c r="V482" i="17"/>
  <c r="V205" i="17"/>
  <c r="V31" i="17"/>
  <c r="V552" i="17"/>
  <c r="V393" i="17"/>
  <c r="V322" i="17"/>
  <c r="V130" i="17"/>
  <c r="V81" i="17"/>
  <c r="V29" i="17"/>
  <c r="V181" i="17"/>
  <c r="V459" i="17"/>
  <c r="V392" i="17"/>
  <c r="V259" i="17"/>
  <c r="V129" i="17"/>
  <c r="V80" i="17"/>
  <c r="V179" i="17"/>
  <c r="V386" i="17"/>
  <c r="V314" i="17"/>
  <c r="V258" i="17"/>
  <c r="V200" i="17"/>
  <c r="V27" i="17"/>
  <c r="V171" i="17"/>
  <c r="V384" i="17"/>
  <c r="V257" i="17"/>
  <c r="V122" i="17"/>
  <c r="V76" i="17"/>
  <c r="V26" i="17"/>
  <c r="V500" i="17"/>
  <c r="V455" i="17"/>
  <c r="V382" i="17"/>
  <c r="V75" i="17"/>
  <c r="V43" i="17"/>
  <c r="V457" i="17"/>
  <c r="V402" i="17"/>
  <c r="V248" i="17"/>
  <c r="V512" i="17"/>
  <c r="V514" i="17"/>
  <c r="V401" i="17"/>
  <c r="V559" i="17"/>
  <c r="V557" i="17"/>
  <c r="V440" i="17"/>
  <c r="V398" i="17"/>
  <c r="V21" i="17"/>
  <c r="V404" i="17"/>
  <c r="V536" i="17"/>
  <c r="V108" i="17"/>
  <c r="V547" i="17"/>
  <c r="V556" i="17"/>
  <c r="V396" i="17"/>
  <c r="V337" i="17"/>
  <c r="V217" i="17"/>
  <c r="V555" i="17"/>
  <c r="V549" i="17"/>
  <c r="V387" i="17"/>
  <c r="V180" i="17"/>
  <c r="V220" i="17"/>
  <c r="V423" i="17"/>
  <c r="V323" i="17"/>
  <c r="V422" i="17"/>
  <c r="V385" i="17"/>
  <c r="V98" i="17"/>
  <c r="V177" i="17"/>
  <c r="V413" i="17"/>
  <c r="V320" i="17"/>
  <c r="V97" i="17"/>
  <c r="V484" i="17"/>
  <c r="V54" i="17"/>
  <c r="V485" i="17"/>
  <c r="V326" i="17"/>
  <c r="V238" i="17"/>
  <c r="V366" i="17"/>
  <c r="V365" i="17"/>
  <c r="V125" i="17"/>
  <c r="V462" i="17"/>
  <c r="V435" i="17"/>
  <c r="V84" i="17"/>
  <c r="V554" i="17"/>
  <c r="V461" i="17"/>
  <c r="V434" i="17"/>
  <c r="V311" i="17"/>
  <c r="V273" i="17"/>
  <c r="V553" i="17"/>
  <c r="V531" i="17"/>
  <c r="V460" i="17"/>
  <c r="V433" i="17"/>
  <c r="V190" i="17"/>
  <c r="V45" i="17"/>
  <c r="V532" i="17"/>
  <c r="V432" i="17"/>
  <c r="V345" i="17"/>
  <c r="V305" i="17"/>
  <c r="V44" i="17"/>
  <c r="V219" i="17"/>
  <c r="V368" i="17"/>
  <c r="V282" i="17"/>
  <c r="V236" i="17"/>
  <c r="V55" i="17"/>
  <c r="V152" i="17"/>
  <c r="V437" i="17"/>
  <c r="V464" i="17"/>
  <c r="V436" i="17"/>
  <c r="V161" i="17"/>
  <c r="V344" i="17"/>
  <c r="V304" i="17"/>
  <c r="V188" i="17"/>
  <c r="V456" i="17"/>
  <c r="V367" i="17"/>
  <c r="V281" i="17"/>
  <c r="V280" i="17"/>
  <c r="V234" i="17"/>
  <c r="V12" i="17"/>
  <c r="V53" i="17"/>
  <c r="V522" i="17"/>
  <c r="V364" i="17"/>
  <c r="V182" i="17"/>
  <c r="V546" i="17"/>
  <c r="V388" i="17"/>
  <c r="V303" i="17"/>
  <c r="V260" i="17"/>
  <c r="V77" i="17"/>
  <c r="P521" i="17"/>
  <c r="V521" i="17"/>
  <c r="P465" i="17"/>
  <c r="V465" i="17"/>
  <c r="P450" i="17"/>
  <c r="V450" i="17"/>
  <c r="P327" i="17"/>
  <c r="V327" i="17"/>
  <c r="V168" i="17"/>
  <c r="V533" i="17"/>
  <c r="V477" i="17"/>
  <c r="V291" i="17"/>
  <c r="V20" i="17"/>
  <c r="V174" i="17"/>
  <c r="V534" i="17"/>
  <c r="V476" i="17"/>
  <c r="V421" i="17"/>
  <c r="V535" i="17"/>
  <c r="V475" i="17"/>
  <c r="V416" i="17"/>
  <c r="V395" i="17"/>
  <c r="V213" i="17"/>
  <c r="V498" i="17"/>
  <c r="V474" i="17"/>
  <c r="V394" i="17"/>
  <c r="V17" i="17"/>
  <c r="V397" i="17"/>
  <c r="V499" i="17"/>
  <c r="V537" i="17"/>
  <c r="V473" i="17"/>
  <c r="V443" i="17"/>
  <c r="V251" i="17"/>
  <c r="V544" i="17"/>
  <c r="V442" i="17"/>
  <c r="V357" i="17"/>
  <c r="V317" i="17"/>
  <c r="V284" i="17"/>
  <c r="V250" i="17"/>
  <c r="V107" i="17"/>
  <c r="V621" i="17"/>
  <c r="V46" i="17"/>
  <c r="P175" i="17"/>
  <c r="V175" i="17"/>
  <c r="P493" i="17"/>
  <c r="V493" i="17"/>
  <c r="P427" i="17"/>
  <c r="V427" i="17"/>
  <c r="P379" i="17"/>
  <c r="V379" i="17"/>
  <c r="P295" i="17"/>
  <c r="V295" i="17"/>
  <c r="P111" i="17"/>
  <c r="V111" i="17"/>
  <c r="P89" i="17"/>
  <c r="V89" i="17"/>
  <c r="P377" i="17"/>
  <c r="V377" i="17"/>
  <c r="P170" i="17"/>
  <c r="V170" i="17"/>
  <c r="P424" i="17"/>
  <c r="V424" i="17"/>
  <c r="P354" i="17"/>
  <c r="V354" i="17"/>
  <c r="P292" i="17"/>
  <c r="V292" i="17"/>
  <c r="P270" i="17"/>
  <c r="V270" i="17"/>
  <c r="P87" i="17"/>
  <c r="V87" i="17"/>
  <c r="P65" i="17"/>
  <c r="V65" i="17"/>
  <c r="P86" i="17"/>
  <c r="V86" i="17"/>
  <c r="P64" i="17"/>
  <c r="V64" i="17"/>
  <c r="P352" i="17"/>
  <c r="V352" i="17"/>
  <c r="P268" i="17"/>
  <c r="V268" i="17"/>
  <c r="P63" i="17"/>
  <c r="V63" i="17"/>
  <c r="P40" i="17"/>
  <c r="V40" i="17"/>
  <c r="P167" i="17"/>
  <c r="V167" i="17"/>
  <c r="P378" i="17"/>
  <c r="V378" i="17"/>
  <c r="P351" i="17"/>
  <c r="V351" i="17"/>
  <c r="P267" i="17"/>
  <c r="V267" i="17"/>
  <c r="P245" i="17"/>
  <c r="V245" i="17"/>
  <c r="P62" i="17"/>
  <c r="V62" i="17"/>
  <c r="P39" i="17"/>
  <c r="V39" i="17"/>
  <c r="P266" i="17"/>
  <c r="V266" i="17"/>
  <c r="P244" i="17"/>
  <c r="V244" i="17"/>
  <c r="P61" i="17"/>
  <c r="V61" i="17"/>
  <c r="P38" i="17"/>
  <c r="V38" i="17"/>
  <c r="V328" i="17"/>
  <c r="P240" i="17"/>
  <c r="V240" i="17"/>
  <c r="P14" i="17"/>
  <c r="V14" i="17"/>
  <c r="V346" i="17"/>
  <c r="P110" i="17"/>
  <c r="V110" i="17"/>
  <c r="V510" i="17"/>
  <c r="V306" i="17"/>
  <c r="V513" i="17"/>
  <c r="P151" i="17"/>
  <c r="V151" i="17"/>
  <c r="P350" i="17"/>
  <c r="V350" i="17"/>
  <c r="V372" i="17"/>
  <c r="V339" i="17"/>
  <c r="V230" i="17"/>
  <c r="P469" i="17"/>
  <c r="V469" i="17"/>
  <c r="P150" i="17"/>
  <c r="V150" i="17"/>
  <c r="P349" i="17"/>
  <c r="V349" i="17"/>
  <c r="P265" i="17"/>
  <c r="V265" i="17"/>
  <c r="P243" i="17"/>
  <c r="V243" i="17"/>
  <c r="P165" i="17"/>
  <c r="V165" i="17"/>
  <c r="P221" i="17"/>
  <c r="V221" i="17"/>
  <c r="P569" i="17"/>
  <c r="V569" i="17"/>
  <c r="P242" i="17"/>
  <c r="V242" i="17"/>
  <c r="P211" i="17"/>
  <c r="V211" i="17"/>
  <c r="P36" i="17"/>
  <c r="V36" i="17"/>
  <c r="P16" i="17"/>
  <c r="V16" i="17"/>
  <c r="P520" i="17"/>
  <c r="V520" i="17"/>
  <c r="P466" i="17"/>
  <c r="V466" i="17"/>
  <c r="P451" i="17"/>
  <c r="V451" i="17"/>
  <c r="P147" i="17"/>
  <c r="V147" i="17"/>
  <c r="V390" i="17"/>
  <c r="V34" i="17"/>
  <c r="P226" i="17"/>
  <c r="V226" i="17"/>
  <c r="P426" i="17"/>
  <c r="V426" i="17"/>
  <c r="P294" i="17"/>
  <c r="V294" i="17"/>
  <c r="P224" i="17"/>
  <c r="V224" i="17"/>
  <c r="P425" i="17"/>
  <c r="V425" i="17"/>
  <c r="V100" i="17"/>
  <c r="V438" i="17"/>
  <c r="P353" i="17"/>
  <c r="V353" i="17"/>
  <c r="P269" i="17"/>
  <c r="V269" i="17"/>
  <c r="V375" i="17"/>
  <c r="V272" i="17"/>
  <c r="V67" i="17"/>
  <c r="V164" i="17"/>
  <c r="P515" i="17"/>
  <c r="V515" i="17"/>
  <c r="P471" i="17"/>
  <c r="V471" i="17"/>
  <c r="V488" i="17"/>
  <c r="V458" i="17"/>
  <c r="V116" i="17"/>
  <c r="V262" i="17"/>
  <c r="V228" i="17"/>
  <c r="V115" i="17"/>
  <c r="V57" i="17"/>
  <c r="V22" i="17"/>
  <c r="P241" i="17"/>
  <c r="V241" i="17"/>
  <c r="P210" i="17"/>
  <c r="V210" i="17"/>
  <c r="P35" i="17"/>
  <c r="V35" i="17"/>
  <c r="V325" i="17"/>
  <c r="V448" i="17"/>
  <c r="V144" i="17"/>
  <c r="V523" i="17"/>
  <c r="V447" i="17"/>
  <c r="V143" i="17"/>
  <c r="V324" i="17"/>
  <c r="V567" i="17"/>
  <c r="V524" i="17"/>
  <c r="V463" i="17"/>
  <c r="V206" i="17"/>
  <c r="V478" i="17"/>
  <c r="V529" i="17"/>
  <c r="V145" i="17"/>
  <c r="V296" i="17"/>
  <c r="V415" i="17"/>
  <c r="V163" i="17"/>
  <c r="V527" i="17"/>
  <c r="V495" i="17"/>
  <c r="V420" i="17"/>
  <c r="V389" i="17"/>
  <c r="V275" i="17"/>
  <c r="V253" i="17"/>
  <c r="V113" i="17"/>
  <c r="V91" i="17"/>
  <c r="V70" i="17"/>
  <c r="V48" i="17"/>
  <c r="V25" i="17"/>
  <c r="V229" i="17"/>
  <c r="V494" i="17"/>
  <c r="V419" i="17"/>
  <c r="V146" i="17"/>
  <c r="V321" i="17"/>
  <c r="V297" i="17"/>
  <c r="V274" i="17"/>
  <c r="V252" i="17"/>
  <c r="V183" i="17"/>
  <c r="V112" i="17"/>
  <c r="V90" i="17"/>
  <c r="V69" i="17"/>
  <c r="V47" i="17"/>
  <c r="V24" i="17"/>
  <c r="V505" i="17"/>
  <c r="V530" i="17"/>
  <c r="V153" i="17"/>
  <c r="V319" i="17"/>
  <c r="V414" i="17"/>
  <c r="V362" i="17"/>
  <c r="V318" i="17"/>
  <c r="V497" i="17"/>
  <c r="V178" i="17"/>
  <c r="V508" i="17"/>
  <c r="V383" i="17"/>
  <c r="V341" i="17"/>
  <c r="V470" i="17"/>
  <c r="V140" i="17"/>
  <c r="V359" i="17"/>
  <c r="V481" i="17"/>
  <c r="V479" i="17"/>
  <c r="V381" i="17"/>
  <c r="V358" i="17"/>
  <c r="V380" i="17"/>
  <c r="V507" i="17"/>
  <c r="V361" i="17"/>
  <c r="V342" i="17"/>
  <c r="V176" i="17"/>
  <c r="V564" i="17"/>
  <c r="V169" i="17"/>
  <c r="V409" i="17"/>
  <c r="V288" i="17"/>
  <c r="V562" i="17"/>
  <c r="V539" i="17"/>
  <c r="V407" i="17"/>
  <c r="V310" i="17"/>
  <c r="V561" i="17"/>
  <c r="V541" i="17"/>
  <c r="V487" i="17"/>
  <c r="V406" i="17"/>
  <c r="V309" i="17"/>
  <c r="V516" i="17"/>
  <c r="V486" i="17"/>
  <c r="V445" i="17"/>
  <c r="V429" i="17"/>
  <c r="V332" i="17"/>
  <c r="V172" i="17"/>
  <c r="V517" i="17"/>
  <c r="V545" i="17"/>
  <c r="V428" i="17"/>
  <c r="V331" i="17"/>
  <c r="V283" i="17"/>
  <c r="V261" i="17"/>
  <c r="V239" i="17"/>
  <c r="V191" i="17"/>
  <c r="V99" i="17"/>
  <c r="V56" i="17"/>
  <c r="V33" i="17"/>
  <c r="V13" i="17"/>
  <c r="V431" i="17"/>
  <c r="V511" i="17"/>
  <c r="V173" i="17"/>
  <c r="V315" i="17"/>
  <c r="V338" i="17"/>
  <c r="V558" i="17"/>
  <c r="V355" i="17"/>
  <c r="V551" i="17"/>
  <c r="V166" i="17"/>
  <c r="V518" i="17"/>
  <c r="V542" i="17"/>
  <c r="V490" i="17"/>
  <c r="V468" i="17"/>
  <c r="V453" i="17"/>
  <c r="V418" i="17"/>
  <c r="V149" i="17"/>
  <c r="V162" i="17"/>
  <c r="V160" i="17"/>
  <c r="V519" i="17"/>
  <c r="V543" i="17"/>
  <c r="V489" i="17"/>
  <c r="V467" i="17"/>
  <c r="V452" i="17"/>
  <c r="V439" i="17"/>
  <c r="V417" i="17"/>
  <c r="V148" i="17"/>
  <c r="V391" i="17"/>
  <c r="V369" i="17"/>
  <c r="V347" i="17"/>
  <c r="V329" i="17"/>
  <c r="V307" i="17"/>
  <c r="V285" i="17"/>
  <c r="V125" i="36"/>
  <c r="V100" i="36"/>
  <c r="P23" i="36"/>
  <c r="V18" i="36"/>
  <c r="V166" i="36"/>
  <c r="V92" i="36"/>
  <c r="P76" i="36"/>
  <c r="V63" i="36"/>
  <c r="P38" i="36"/>
  <c r="V98" i="36"/>
  <c r="V138" i="36"/>
  <c r="P16" i="36"/>
  <c r="V146" i="36"/>
  <c r="P288" i="36"/>
  <c r="P196" i="36"/>
  <c r="P194" i="36"/>
  <c r="P327" i="36"/>
  <c r="V300" i="36"/>
  <c r="V172" i="36"/>
  <c r="V155" i="36"/>
  <c r="V239" i="36"/>
  <c r="V296" i="36"/>
  <c r="V188" i="36"/>
  <c r="V81" i="36"/>
  <c r="V69" i="36"/>
  <c r="V36" i="36"/>
  <c r="V62" i="36"/>
  <c r="V42" i="36"/>
  <c r="P152" i="36"/>
  <c r="V284" i="36"/>
  <c r="V272" i="36"/>
  <c r="V232" i="36"/>
  <c r="V163" i="36"/>
  <c r="V345" i="36"/>
  <c r="V316" i="36"/>
  <c r="V280" i="36"/>
  <c r="V147" i="36"/>
  <c r="V303" i="36"/>
  <c r="V344" i="36"/>
  <c r="V319" i="36"/>
  <c r="P223" i="36"/>
  <c r="P202" i="36"/>
  <c r="V197" i="36"/>
  <c r="P182" i="36"/>
  <c r="V130" i="36"/>
  <c r="P85" i="36"/>
  <c r="V153" i="36"/>
  <c r="V61" i="36"/>
  <c r="P107" i="36"/>
  <c r="P45" i="36"/>
  <c r="V17" i="36"/>
  <c r="V234" i="36"/>
  <c r="V87" i="36"/>
  <c r="V37" i="36"/>
  <c r="V137" i="36"/>
  <c r="V102" i="36"/>
  <c r="V347" i="36"/>
  <c r="V335" i="36"/>
  <c r="V278" i="36"/>
  <c r="V343" i="36"/>
  <c r="V339" i="36"/>
  <c r="P91" i="36"/>
  <c r="V56" i="36"/>
  <c r="P176" i="36"/>
  <c r="V164" i="36"/>
  <c r="V160" i="36"/>
  <c r="V109" i="36"/>
  <c r="P301" i="36"/>
  <c r="P121" i="36"/>
  <c r="V105" i="36"/>
  <c r="P29" i="36"/>
  <c r="P52" i="36"/>
  <c r="P140" i="36"/>
  <c r="V39" i="36"/>
  <c r="V89" i="36"/>
  <c r="V106" i="36"/>
  <c r="V78" i="36"/>
  <c r="V67" i="36"/>
  <c r="P186" i="36"/>
  <c r="P167" i="36"/>
  <c r="P82" i="36"/>
  <c r="P391" i="36"/>
  <c r="P171" i="36"/>
  <c r="P149" i="36"/>
  <c r="V294" i="36"/>
  <c r="V275" i="36"/>
  <c r="P268" i="36"/>
  <c r="V256" i="36"/>
  <c r="P238" i="36"/>
  <c r="V368" i="36"/>
  <c r="P353" i="36"/>
  <c r="V348" i="36"/>
  <c r="V341" i="36"/>
  <c r="V333" i="36"/>
  <c r="V263" i="36"/>
  <c r="V252" i="36"/>
  <c r="V230" i="36"/>
  <c r="P384" i="36"/>
  <c r="V329" i="36"/>
  <c r="V325" i="36"/>
  <c r="P298" i="36"/>
  <c r="V286" i="36"/>
  <c r="V259" i="36"/>
  <c r="V237" i="36"/>
  <c r="P208" i="36"/>
  <c r="P193" i="36"/>
  <c r="V321" i="36"/>
  <c r="V203" i="36"/>
  <c r="V151" i="36"/>
  <c r="V133" i="36"/>
  <c r="V207" i="36"/>
  <c r="V192" i="36"/>
  <c r="V84" i="36"/>
  <c r="V210" i="36"/>
  <c r="V195" i="36"/>
  <c r="V169" i="36"/>
  <c r="V136" i="36"/>
  <c r="V122" i="36"/>
  <c r="V108" i="36"/>
  <c r="V59" i="36"/>
  <c r="V21" i="36"/>
  <c r="V217" i="36"/>
  <c r="V129" i="36"/>
  <c r="P154" i="36"/>
  <c r="P25" i="36"/>
  <c r="V93" i="36"/>
  <c r="P47" i="36"/>
  <c r="P221" i="36"/>
  <c r="P198" i="36"/>
  <c r="P51" i="36"/>
  <c r="P225" i="36"/>
  <c r="V385" i="36"/>
  <c r="V366" i="36"/>
  <c r="V250" i="36"/>
  <c r="V216" i="36"/>
  <c r="V209" i="36"/>
  <c r="V135" i="36"/>
  <c r="P132" i="36"/>
  <c r="P118" i="36"/>
  <c r="V58" i="36"/>
  <c r="V20" i="36"/>
  <c r="V128" i="36"/>
  <c r="P337" i="36"/>
  <c r="V306" i="36"/>
  <c r="V295" i="36"/>
  <c r="P265" i="36"/>
  <c r="V257" i="36"/>
  <c r="V190" i="36"/>
  <c r="V35" i="36"/>
  <c r="V253" i="36"/>
  <c r="V231" i="36"/>
  <c r="V212" i="36"/>
  <c r="V124" i="36"/>
  <c r="V103" i="36"/>
  <c r="V75" i="36"/>
  <c r="V71" i="36"/>
  <c r="P156" i="36"/>
  <c r="V365" i="36"/>
  <c r="V322" i="36"/>
  <c r="P142" i="36"/>
  <c r="P110" i="36"/>
  <c r="V57" i="36"/>
  <c r="P134" i="36"/>
  <c r="V134" i="36"/>
  <c r="P123" i="36"/>
  <c r="V123" i="36"/>
  <c r="P310" i="36"/>
  <c r="P211" i="36"/>
  <c r="P375" i="36"/>
  <c r="P349" i="36"/>
  <c r="P251" i="36"/>
  <c r="P326" i="36"/>
  <c r="P277" i="36"/>
  <c r="P227" i="36"/>
  <c r="V227" i="36"/>
  <c r="P200" i="36"/>
  <c r="P158" i="36"/>
  <c r="V361" i="36"/>
  <c r="V351" i="36"/>
  <c r="V276" i="36"/>
  <c r="V266" i="36"/>
  <c r="P220" i="36"/>
  <c r="P179" i="36"/>
  <c r="V387" i="36"/>
  <c r="P381" i="36"/>
  <c r="V377" i="36"/>
  <c r="V338" i="36"/>
  <c r="V328" i="36"/>
  <c r="P309" i="36"/>
  <c r="V302" i="36"/>
  <c r="V292" i="36"/>
  <c r="V233" i="36"/>
  <c r="V226" i="36"/>
  <c r="V189" i="36"/>
  <c r="V157" i="36"/>
  <c r="V390" i="36"/>
  <c r="V364" i="36"/>
  <c r="V354" i="36"/>
  <c r="V305" i="36"/>
  <c r="V279" i="36"/>
  <c r="V269" i="36"/>
  <c r="V219" i="36"/>
  <c r="V380" i="36"/>
  <c r="V318" i="36"/>
  <c r="P312" i="36"/>
  <c r="V308" i="36"/>
  <c r="V282" i="36"/>
  <c r="P161" i="36"/>
  <c r="V161" i="36"/>
  <c r="P119" i="36"/>
  <c r="V119" i="36"/>
  <c r="P359" i="36"/>
  <c r="P287" i="36"/>
  <c r="P261" i="36"/>
  <c r="P206" i="36"/>
  <c r="V206" i="36"/>
  <c r="P320" i="36"/>
  <c r="P274" i="36"/>
  <c r="P313" i="36"/>
  <c r="P183" i="36"/>
  <c r="V183" i="36"/>
  <c r="P145" i="36"/>
  <c r="P267" i="36"/>
  <c r="P293" i="36"/>
  <c r="P315" i="36"/>
  <c r="P199" i="36"/>
  <c r="P178" i="36"/>
  <c r="V360" i="36"/>
  <c r="V350" i="36"/>
  <c r="P331" i="36"/>
  <c r="V324" i="36"/>
  <c r="V314" i="36"/>
  <c r="V386" i="36"/>
  <c r="V376" i="36"/>
  <c r="P249" i="36"/>
  <c r="V249" i="36"/>
  <c r="P101" i="36"/>
  <c r="V101" i="36"/>
  <c r="V389" i="36"/>
  <c r="V340" i="36"/>
  <c r="P334" i="36"/>
  <c r="V330" i="36"/>
  <c r="V304" i="36"/>
  <c r="V255" i="36"/>
  <c r="V218" i="36"/>
  <c r="P181" i="36"/>
  <c r="V181" i="36"/>
  <c r="P174" i="36"/>
  <c r="V392" i="36"/>
  <c r="V379" i="36"/>
  <c r="V317" i="36"/>
  <c r="V307" i="36"/>
  <c r="V248" i="36"/>
  <c r="V235" i="36"/>
  <c r="P222" i="36"/>
  <c r="P205" i="36"/>
  <c r="V205" i="36"/>
  <c r="V201" i="36"/>
  <c r="V170" i="36"/>
  <c r="P241" i="36"/>
  <c r="P372" i="36"/>
  <c r="P346" i="36"/>
  <c r="V228" i="36"/>
  <c r="V204" i="36"/>
  <c r="P177" i="36"/>
  <c r="P336" i="36"/>
  <c r="P264" i="36"/>
  <c r="P323" i="36"/>
  <c r="P290" i="36"/>
  <c r="P224" i="36"/>
  <c r="P362" i="36"/>
  <c r="P352" i="36"/>
  <c r="P378" i="36"/>
  <c r="V382" i="36"/>
  <c r="P184" i="36"/>
  <c r="V184" i="36"/>
  <c r="P271" i="36"/>
  <c r="P180" i="36"/>
  <c r="P159" i="36"/>
  <c r="V159" i="36"/>
  <c r="V141" i="36"/>
  <c r="P126" i="36"/>
  <c r="P104" i="36"/>
  <c r="V97" i="36"/>
  <c r="V53" i="36"/>
  <c r="V31" i="36"/>
  <c r="P41" i="36"/>
  <c r="P19" i="36"/>
  <c r="P88" i="36"/>
  <c r="P66" i="36"/>
  <c r="P44" i="36"/>
  <c r="P22" i="36"/>
  <c r="P72" i="36"/>
  <c r="P50" i="36"/>
  <c r="P28" i="36"/>
  <c r="V112" i="36"/>
  <c r="V90" i="36"/>
  <c r="V68" i="36"/>
  <c r="V46" i="36"/>
  <c r="V24" i="36"/>
  <c r="V49" i="36"/>
  <c r="V27" i="36"/>
  <c r="V162" i="36"/>
  <c r="V187" i="36"/>
  <c r="V165" i="36"/>
  <c r="V143" i="36"/>
  <c r="V99" i="36"/>
  <c r="V77" i="36"/>
  <c r="V55" i="36"/>
  <c r="V33" i="36"/>
  <c r="V48" i="36"/>
  <c r="V26" i="36"/>
  <c r="V139" i="36"/>
  <c r="V117" i="36"/>
  <c r="V73" i="36"/>
  <c r="V54" i="36"/>
  <c r="V32" i="36"/>
  <c r="V79" i="36"/>
  <c r="E7" i="17" l="1"/>
  <c r="F13" i="41"/>
  <c r="H13" i="41"/>
  <c r="G13" i="41"/>
  <c r="H12" i="41"/>
  <c r="G12" i="41"/>
  <c r="F12" i="41"/>
  <c r="D7" i="17"/>
  <c r="C7" i="17"/>
  <c r="G11" i="38"/>
  <c r="G9" i="38"/>
  <c r="E4" i="36"/>
  <c r="C4" i="36"/>
  <c r="D4" i="36"/>
  <c r="G14" i="41" l="1"/>
  <c r="H14" i="41"/>
  <c r="AF4" i="26" s="1"/>
  <c r="Q13" i="41"/>
  <c r="F14" i="41"/>
  <c r="Q12" i="41"/>
  <c r="O7" i="17"/>
  <c r="B8" i="17" s="1"/>
  <c r="AF3" i="26" l="1"/>
  <c r="Q14" i="41"/>
  <c r="F15" i="41" s="1"/>
  <c r="E15" i="41" l="1"/>
  <c r="K15" i="41"/>
  <c r="L15" i="41"/>
  <c r="M15" i="41"/>
  <c r="N15" i="41"/>
  <c r="O15" i="41"/>
  <c r="P15" i="41"/>
  <c r="I15" i="41"/>
  <c r="J15" i="41"/>
  <c r="H15" i="41"/>
  <c r="G15" i="41"/>
  <c r="B15" i="28"/>
  <c r="T2" i="28"/>
  <c r="Q15" i="41" l="1"/>
  <c r="T3" i="28"/>
  <c r="T13" i="28" l="1"/>
  <c r="M4" i="36"/>
  <c r="L4" i="36"/>
  <c r="N4" i="36"/>
  <c r="G4" i="36"/>
  <c r="T9" i="28"/>
  <c r="J4" i="36"/>
  <c r="O4" i="36"/>
  <c r="I4" i="36" l="1"/>
  <c r="H4" i="36"/>
  <c r="K4" i="36"/>
  <c r="P4" i="36" l="1"/>
  <c r="I5" i="36" s="1"/>
  <c r="C5" i="36" l="1"/>
  <c r="P5" i="36"/>
  <c r="E5" i="36"/>
  <c r="B5" i="36"/>
  <c r="D5" i="36"/>
  <c r="F5" i="36"/>
  <c r="J5" i="36"/>
  <c r="G5" i="36"/>
  <c r="O5" i="36"/>
  <c r="N5" i="36"/>
  <c r="M5" i="36"/>
  <c r="L5" i="36"/>
  <c r="H5" i="36"/>
  <c r="K5" i="36"/>
  <c r="T4" i="28" l="1"/>
  <c r="T5" i="28"/>
  <c r="T6" i="28" l="1"/>
  <c r="T15" i="28" s="1"/>
  <c r="E8" i="17" l="1"/>
  <c r="D8" i="17" l="1"/>
  <c r="C8" i="17"/>
  <c r="H8" i="17"/>
  <c r="I8" i="17"/>
  <c r="J8" i="17"/>
  <c r="K8" i="17"/>
  <c r="L8" i="17"/>
  <c r="M8" i="17"/>
  <c r="O8" i="17"/>
  <c r="N8" i="17"/>
  <c r="F8" i="17"/>
  <c r="G8" i="17"/>
</calcChain>
</file>

<file path=xl/sharedStrings.xml><?xml version="1.0" encoding="utf-8"?>
<sst xmlns="http://schemas.openxmlformats.org/spreadsheetml/2006/main" count="17304" uniqueCount="3762">
  <si>
    <t>Código Indra</t>
  </si>
  <si>
    <t>Denominación</t>
  </si>
  <si>
    <t>Edición</t>
  </si>
  <si>
    <t>Realizado por:</t>
  </si>
  <si>
    <t>0973520000000.00</t>
  </si>
  <si>
    <t>Secuencia de Montaje A320 SN06</t>
  </si>
  <si>
    <t>A0</t>
  </si>
  <si>
    <t>jamperez</t>
  </si>
  <si>
    <t>ID</t>
  </si>
  <si>
    <t>Código INDRA</t>
  </si>
  <si>
    <t>Nombre de tarea</t>
  </si>
  <si>
    <t>Duración (h)</t>
  </si>
  <si>
    <t>Nº Operarios</t>
  </si>
  <si>
    <t>%</t>
  </si>
  <si>
    <t>Comentarios</t>
  </si>
  <si>
    <t xml:space="preserve">Documentación actual </t>
  </si>
  <si>
    <t xml:space="preserve">Documentación SAP </t>
  </si>
  <si>
    <t>Estado</t>
  </si>
  <si>
    <t>HR</t>
  </si>
  <si>
    <t>0973524430100</t>
  </si>
  <si>
    <t>CABLE SET GROUND</t>
  </si>
  <si>
    <t xml:space="preserve">Falta por definir la conexión a tierra de los equipos comerciales. 
Es necesario subir a SAP la version definitiva antes de pasar Calidad. </t>
  </si>
  <si>
    <t xml:space="preserve">LM A0
EQ A0
</t>
  </si>
  <si>
    <t xml:space="preserve">LM A0
EQ A2
</t>
  </si>
  <si>
    <t>OK</t>
  </si>
  <si>
    <t>0973525190000.00</t>
  </si>
  <si>
    <t>ELECTRONIC EQUIP #1</t>
  </si>
  <si>
    <r>
      <t xml:space="preserve">Falta etiquetas: OVHDP, PD1, PD2, ELECTRONIC EQUIPMENT #1 y Electric Shock (H9 - no se indica ubicación)
RTIO COM ASSY instalado sin calidad.
</t>
    </r>
    <r>
      <rPr>
        <sz val="9"/>
        <color rgb="FFFF0000"/>
        <rFont val="Segoe UI"/>
        <family val="2"/>
      </rPr>
      <t>Es necesario subir a SAP la version definitiva antes de pasar Calidad. (Jorge)</t>
    </r>
  </si>
  <si>
    <t>LM A1
DM A2
EQ A0</t>
  </si>
  <si>
    <t>LM A1
DM A3
EQ A0</t>
  </si>
  <si>
    <t>0973525200000.00</t>
  </si>
  <si>
    <t>ELECTRONIC EQUIP #2</t>
  </si>
  <si>
    <r>
      <t xml:space="preserve">Falta etiquetas: sensor humos, sensor aire acondicionado, PDAV, PD#3, ELECTRONIC EQUIPMENT #2 y Electric Shock (H9 - no se indica ubicación). Falta NUC.
</t>
    </r>
    <r>
      <rPr>
        <sz val="9"/>
        <color rgb="FFFF0000"/>
        <rFont val="Segoe UI"/>
        <family val="2"/>
      </rPr>
      <t>Es necesario subir a SAP la version definitiva antes de pasar Calidad.</t>
    </r>
  </si>
  <si>
    <t xml:space="preserve">DM A1
</t>
  </si>
  <si>
    <t>LM A2
DM A3
EQ A1</t>
  </si>
  <si>
    <t>0973525210000.00</t>
  </si>
  <si>
    <t>ELECTRONIC EQUIP #3</t>
  </si>
  <si>
    <r>
      <t xml:space="preserve">Falta instalar: Actuator Tray Assy y pulsera electroestática.
Falta etiquetas: ELECTRONIC EQUIPMENT #3 y Electric Shock (H9 - no se indica ubicación).
</t>
    </r>
    <r>
      <rPr>
        <sz val="9"/>
        <color rgb="FFFF0000"/>
        <rFont val="Segoe UI"/>
        <family val="2"/>
      </rPr>
      <t>Es necesario subir a SAP la version definitiva antes de pasar Calidad.</t>
    </r>
  </si>
  <si>
    <t>LM A2
DM A1</t>
  </si>
  <si>
    <t>LM A2
DM A3</t>
  </si>
  <si>
    <t>0973525220000.00</t>
  </si>
  <si>
    <t>ELECTRONIC EQUIP #4</t>
  </si>
  <si>
    <r>
      <t xml:space="preserve">Falta etiquetas: ELECTRONIC EQUIPMENT #4 y Electric Shock (H9 - no se indica ubicación), SERVO AMP UNIT y EEQ4 DIST BOX.
</t>
    </r>
    <r>
      <rPr>
        <sz val="9"/>
        <color rgb="FFFF0000"/>
        <rFont val="Segoe UI"/>
        <family val="2"/>
      </rPr>
      <t>Es necesario subir a SAP la version definitiva antes de pasar Calidad.</t>
    </r>
    <r>
      <rPr>
        <sz val="9"/>
        <color rgb="FF363636"/>
        <rFont val="Segoe UI"/>
        <family val="2"/>
      </rPr>
      <t xml:space="preserve"> (Angel) </t>
    </r>
  </si>
  <si>
    <t>LM A1
DM A1</t>
  </si>
  <si>
    <t>LM A1
DM A2</t>
  </si>
  <si>
    <t>0973525300500</t>
  </si>
  <si>
    <t>BASEFRAME POWER STRIPS</t>
  </si>
  <si>
    <t>Faltan etiquetas de los cables de las regletas.</t>
  </si>
  <si>
    <t>LM A0
DM A1</t>
  </si>
  <si>
    <t>0973525300000.00</t>
  </si>
  <si>
    <t>BASEFRAME</t>
  </si>
  <si>
    <r>
      <t xml:space="preserve">Falta por montar VACCUM CONTROLLER BOX.
Faltan etiquetas de los SENSORES DE HUMO de humo, BLOWER, 
</t>
    </r>
    <r>
      <rPr>
        <sz val="9"/>
        <color rgb="FFFF0000"/>
        <rFont val="Segoe UI"/>
        <family val="2"/>
      </rPr>
      <t>Es necesario subir a SAP la version definitiva antes de pasar Calidad.</t>
    </r>
  </si>
  <si>
    <t>0973524430000</t>
  </si>
  <si>
    <t>CABLE SET POWER RACK</t>
  </si>
  <si>
    <r>
      <t xml:space="preserve">Falta por instalar W508 (spare)
</t>
    </r>
    <r>
      <rPr>
        <sz val="9"/>
        <color rgb="FFFF0000"/>
        <rFont val="Segoe UI"/>
        <family val="2"/>
      </rPr>
      <t>Instalacion provisional: W509 (rack procesadores) (angel) y W544 (motion). 
Revisar la etiqueta del W519.</t>
    </r>
    <r>
      <rPr>
        <sz val="9"/>
        <color rgb="FF363636"/>
        <rFont val="Segoe UI"/>
        <family val="2"/>
      </rPr>
      <t xml:space="preserve">
</t>
    </r>
    <r>
      <rPr>
        <sz val="9"/>
        <color rgb="FFFF0000"/>
        <rFont val="Segoe UI"/>
        <family val="2"/>
      </rPr>
      <t xml:space="preserve">Es necesario subir a SAP la version definitiva antes de pasar Calidad. </t>
    </r>
  </si>
  <si>
    <t>LM A0
DI A0</t>
  </si>
  <si>
    <t>0973524190000</t>
  </si>
  <si>
    <t>CABLE SET EEQ#1</t>
  </si>
  <si>
    <r>
      <t xml:space="preserve">Falta por instalar: LEFT FWD PWR STRIP, cable A0201W07, Etiquetas de las regletas y del cable de alimentacion del RTIO COM ASSY.
</t>
    </r>
    <r>
      <rPr>
        <sz val="9"/>
        <color rgb="FFFF0000"/>
        <rFont val="Segoe UI"/>
        <family val="2"/>
      </rPr>
      <t>Es necesario subir a SAP la version definitiva antes de pasar Calidad.</t>
    </r>
  </si>
  <si>
    <t>LM
DI (no aparece en SAP)</t>
  </si>
  <si>
    <t>0973524200000</t>
  </si>
  <si>
    <t>CABLE SET EEQ#2</t>
  </si>
  <si>
    <r>
      <t xml:space="preserve">Falta por instalar etiquetas de las regletas, etiquetas de la regleta del NUC, cable del poseidon y sus etiquetas. 
</t>
    </r>
    <r>
      <rPr>
        <sz val="9"/>
        <color rgb="FFFF0000"/>
        <rFont val="Segoe UI"/>
        <family val="2"/>
      </rPr>
      <t>Es necesario subir a SAP la version definitiva antes de pasar Calidad.</t>
    </r>
  </si>
  <si>
    <t>LM A0
DI A1</t>
  </si>
  <si>
    <t>0973524191400.00</t>
  </si>
  <si>
    <t>CABLE SET PD#1</t>
  </si>
  <si>
    <r>
      <rPr>
        <sz val="9"/>
        <rFont val="Segoe UI"/>
        <family val="2"/>
      </rPr>
      <t xml:space="preserve">La etiqueta de cable en J06 es la misma que la etiqueta en J07.                                                              </t>
    </r>
    <r>
      <rPr>
        <sz val="9"/>
        <color rgb="FFFF0000"/>
        <rFont val="Segoe UI"/>
        <family val="2"/>
      </rPr>
      <t>Es necesario subir a SAP la version definitiva antes de pasar Calidad. (miguel) 
Subido a SAP el 05/03</t>
    </r>
  </si>
  <si>
    <t>0973524191500</t>
  </si>
  <si>
    <t>CABLE SET PD#2</t>
  </si>
  <si>
    <r>
      <t xml:space="preserve">Las etiquetas de cables están intercambiadas entre J06 y J05 J12.                                       Sin hoja de ruta. (angel)
</t>
    </r>
    <r>
      <rPr>
        <sz val="9"/>
        <color rgb="FFFF0000"/>
        <rFont val="Segoe UI"/>
        <family val="2"/>
      </rPr>
      <t>Es necesario subir a SAP la version definitiva antes de pasar Calidad.</t>
    </r>
  </si>
  <si>
    <t>0973524190300.00</t>
  </si>
  <si>
    <t>CABLE SET OVHDP</t>
  </si>
  <si>
    <r>
      <rPr>
        <sz val="9"/>
        <color rgb="FF363636"/>
        <rFont val="Segoe UI"/>
        <family val="2"/>
      </rPr>
      <t xml:space="preserve">Incidencias: W024,P4 y W023,P4 con etiquetas erroneas. 
</t>
    </r>
    <r>
      <rPr>
        <sz val="9"/>
        <color rgb="FFFF0000"/>
        <rFont val="Segoe UI"/>
        <family val="2"/>
      </rPr>
      <t>Es necesario subir a SAP la version definitiva antes de pasar Calidad. (miguel) 
Subido a SAP el 05/03
Subido a SAP el 05/03</t>
    </r>
  </si>
  <si>
    <t>0973524190100</t>
  </si>
  <si>
    <t>CABLE SET POWER EEQ#1 (CABLE SET RTIO)</t>
  </si>
  <si>
    <r>
      <t xml:space="preserve">Reducir 4 metros de W423 en extremos P02 y P03.                                                      Falta por instalar: W424 (pendiente de la chapa del morro de la cabina)
</t>
    </r>
    <r>
      <rPr>
        <sz val="9"/>
        <color rgb="FFFF0000"/>
        <rFont val="Segoe UI"/>
        <family val="2"/>
      </rPr>
      <t>Es necesario subir a SAP la version definitiva antes de pasar Calidad.</t>
    </r>
  </si>
  <si>
    <t>0973524300100.00</t>
  </si>
  <si>
    <t>CABLE SET MIP</t>
  </si>
  <si>
    <r>
      <rPr>
        <sz val="9"/>
        <rFont val="Segoe UI"/>
        <family val="2"/>
      </rPr>
      <t xml:space="preserve">Revisar todas las anotaciones escritas en la OP física                                                              </t>
    </r>
    <r>
      <rPr>
        <sz val="9"/>
        <color rgb="FFFF0000"/>
        <rFont val="Segoe UI"/>
        <family val="2"/>
      </rPr>
      <t>Es necesario subir a SAP la version definitiva antes de pasar Calidad. (angel)</t>
    </r>
  </si>
  <si>
    <t>0973524300000</t>
  </si>
  <si>
    <t>CABLE SET BASEFRAME</t>
  </si>
  <si>
    <r>
      <t xml:space="preserve">Hay dos cables con el mismo nombre.
</t>
    </r>
    <r>
      <rPr>
        <sz val="9"/>
        <color rgb="FFFF0000"/>
        <rFont val="Segoe UI"/>
        <family val="2"/>
      </rPr>
      <t>Es necesario subir a SAP la version definitiva antes de pasar Calidad. (Angel)</t>
    </r>
  </si>
  <si>
    <t>0973524020000.00</t>
  </si>
  <si>
    <t>CABLE SET CAN</t>
  </si>
  <si>
    <r>
      <t xml:space="preserve">Instalado provisionalmente W909 (corto)
</t>
    </r>
    <r>
      <rPr>
        <sz val="9"/>
        <color rgb="FFFF0000"/>
        <rFont val="Segoe UI"/>
        <family val="2"/>
      </rPr>
      <t>Es necesario subir a SAP la version definitiva antes de pasar Calidad.</t>
    </r>
  </si>
  <si>
    <t>0973524201800.00</t>
  </si>
  <si>
    <t>CABLE SET AVICOM</t>
  </si>
  <si>
    <t>Es necesario subir a SAP la version definitiva antes de pasar Calidad. (angel)</t>
  </si>
  <si>
    <t>0973524201600</t>
  </si>
  <si>
    <t>CABLE SET AVDP</t>
  </si>
  <si>
    <r>
      <t>Las etiquetas de los extremos P01 de los 3 cables son erróneas                                   
Falta por instalar W092 (corto), instalado provisionalmente. (miguel) Revisar</t>
    </r>
    <r>
      <rPr>
        <sz val="9"/>
        <color rgb="FFFF0000"/>
        <rFont val="Segoe UI"/>
        <family val="2"/>
      </rPr>
      <t xml:space="preserve">
Es necesario subir a SAP la version definitiva antes de pasar a Calidad.</t>
    </r>
  </si>
  <si>
    <t>0973524070200</t>
  </si>
  <si>
    <t>CABLE SET ETH DISPLAY UNITS</t>
  </si>
  <si>
    <t>0973524070300</t>
  </si>
  <si>
    <t>CABLE SET PWR  DISPLAY UNITS</t>
  </si>
  <si>
    <t>0973524212100</t>
  </si>
  <si>
    <t xml:space="preserve">CABLE SET COMMS DP </t>
  </si>
  <si>
    <t>0973525020000.00</t>
  </si>
  <si>
    <t>FLIGHT COMPARTMENT</t>
  </si>
  <si>
    <t>Falta instalar el detector de hielo.</t>
  </si>
  <si>
    <t>0973525170000.00</t>
  </si>
  <si>
    <t>COCKPIT FRAME</t>
  </si>
  <si>
    <t xml:space="preserve">Faltan las etiquetas de los sensores de humos, falta el sensor del morro y el mecanizado de la tapa. </t>
  </si>
  <si>
    <t>0973525170100.00</t>
  </si>
  <si>
    <t>CLS</t>
  </si>
  <si>
    <t>0973525411000</t>
  </si>
  <si>
    <t>CABLE SET DACS</t>
  </si>
  <si>
    <t>Falta W303 (parada diseño)</t>
  </si>
  <si>
    <t>0973524210200</t>
  </si>
  <si>
    <t>CABLE SET DACS EEQ#3</t>
  </si>
  <si>
    <t>Las etiquetas de PWR STRP #2 A020302 son erróneas</t>
  </si>
  <si>
    <t>0973525320000.00</t>
  </si>
  <si>
    <t>MOTION SYSTEM</t>
  </si>
  <si>
    <t xml:space="preserve">Es necesario subir a SAP la documentación antes de pasar Calidad. </t>
  </si>
  <si>
    <t>CARENADOS</t>
  </si>
  <si>
    <t>0973525310000.00</t>
  </si>
  <si>
    <t>DRAWBRIDGE</t>
  </si>
  <si>
    <r>
      <rPr>
        <sz val="9"/>
        <rFont val="Segoe UI"/>
        <family val="2"/>
      </rPr>
      <t>Falta por instala la SMOKE control BOX, conectar la alfombrilla, serigrafiar la DBCU.</t>
    </r>
    <r>
      <rPr>
        <sz val="9"/>
        <color rgb="FFFF0000"/>
        <rFont val="Segoe UI"/>
        <family val="2"/>
      </rPr>
      <t xml:space="preserve">
Es necesario subir a SAP la documentación antes de pasar Calidad. </t>
    </r>
  </si>
  <si>
    <t>0973525400000.00</t>
  </si>
  <si>
    <t>AIR CONDITIONING SYSTEM</t>
  </si>
  <si>
    <t>0973525030000.00</t>
  </si>
  <si>
    <t>LEFT CONSOLE</t>
  </si>
  <si>
    <r>
      <t xml:space="preserve">Falta por instalar las mascaras y Hand microphone.
</t>
    </r>
    <r>
      <rPr>
        <sz val="9"/>
        <color rgb="FFFF0000"/>
        <rFont val="Segoe UI"/>
        <family val="2"/>
      </rPr>
      <t>Es necesario subir a SAP la version definitiva antes de pasar Calidad. (miguel - alicia)</t>
    </r>
  </si>
  <si>
    <t>0973525040000.00</t>
  </si>
  <si>
    <t>LEFT INSTRUMENT PANEL</t>
  </si>
  <si>
    <t>0973525050000.00</t>
  </si>
  <si>
    <t>RIGHT INSTRUMENT PANEL</t>
  </si>
  <si>
    <t>0973525060000.00</t>
  </si>
  <si>
    <t>RIGHT CONSOLE</t>
  </si>
  <si>
    <r>
      <t xml:space="preserve">Falta por instalar las mascaras y Hand microphone.
</t>
    </r>
    <r>
      <rPr>
        <sz val="9"/>
        <color rgb="FFFF0000"/>
        <rFont val="Segoe UI"/>
        <family val="2"/>
      </rPr>
      <t xml:space="preserve">Es necesario subir a SAP la version definitiva antes de pasar Calidad. </t>
    </r>
  </si>
  <si>
    <t>0973525090000.00</t>
  </si>
  <si>
    <t>PEDESTAL</t>
  </si>
  <si>
    <r>
      <t xml:space="preserve">Faltan por instalar una MCDU y los tornillos. 
</t>
    </r>
    <r>
      <rPr>
        <sz val="9"/>
        <color rgb="FFFF0000"/>
        <rFont val="Segoe UI"/>
        <family val="2"/>
      </rPr>
      <t xml:space="preserve">Es necesario subir a SAP la version definitiva antes de pasar Calidad. </t>
    </r>
    <r>
      <rPr>
        <sz val="9"/>
        <color rgb="FF363636"/>
        <rFont val="Segoe UI"/>
        <family val="2"/>
      </rPr>
      <t>(miguel - alicia)</t>
    </r>
  </si>
  <si>
    <t>0973525070000.00</t>
  </si>
  <si>
    <t>MAIN INSTRUMENT PANEL</t>
  </si>
  <si>
    <r>
      <t xml:space="preserve">Faltan por instalar 2 Dus, los tornillos de fijacion y las tapas. 
</t>
    </r>
    <r>
      <rPr>
        <sz val="9"/>
        <color rgb="FFFF0000"/>
        <rFont val="Segoe UI"/>
        <family val="2"/>
      </rPr>
      <t xml:space="preserve">Es necesario subir a SAP la version definitiva antes de pasar Calidad. </t>
    </r>
  </si>
  <si>
    <t>0973525100000.00</t>
  </si>
  <si>
    <t>GLARESHIELD</t>
  </si>
  <si>
    <t>0973525110000.00</t>
  </si>
  <si>
    <t>OVERHEAD PANEL</t>
  </si>
  <si>
    <r>
      <rPr>
        <sz val="9"/>
        <rFont val="Segoe UI"/>
        <family val="2"/>
      </rPr>
      <t xml:space="preserve">Falta por instalar 24MQ (montaje),tapa y  camara, detector hielo y embelleceder. </t>
    </r>
    <r>
      <rPr>
        <sz val="9"/>
        <color rgb="FFFF0000"/>
        <rFont val="Segoe UI"/>
        <family val="2"/>
      </rPr>
      <t xml:space="preserve">
Es necesario subir a SAP la version definitiva antes de pasar Calidad. (miguel - alicia)</t>
    </r>
  </si>
  <si>
    <t>0973525135000.00</t>
  </si>
  <si>
    <t>C/B CABIN PANEL</t>
  </si>
  <si>
    <r>
      <t xml:space="preserve">Faltan por instalar de manera definitiva PDs y C/Bs debido a incidencias de diseño, tornillos.
</t>
    </r>
    <r>
      <rPr>
        <sz val="9"/>
        <color rgb="FFFF0000"/>
        <rFont val="Segoe UI"/>
        <family val="2"/>
      </rPr>
      <t xml:space="preserve">Es necesario subir a SAP la version definitiva antes de pasar Calidad. </t>
    </r>
    <r>
      <rPr>
        <sz val="9"/>
        <color rgb="FF363636"/>
        <rFont val="Segoe UI"/>
        <family val="2"/>
      </rPr>
      <t>(miguel - alicia)</t>
    </r>
  </si>
  <si>
    <t>0973525150000.00</t>
  </si>
  <si>
    <t>MISCELLANEOUS LIGHTING</t>
  </si>
  <si>
    <t>Es necesario subir a SAP la version definitiva antes de pasar Calidad. (miguel - alicia)</t>
  </si>
  <si>
    <t>0973525160000.00</t>
  </si>
  <si>
    <t>MISCELLANEOUS EQUIPMENT</t>
  </si>
  <si>
    <t>0973524201000</t>
  </si>
  <si>
    <t>CABLE SET PD#3</t>
  </si>
  <si>
    <r>
      <t xml:space="preserve">W487, W480 y W488 se han fabricado cortos. (angel)
</t>
    </r>
    <r>
      <rPr>
        <sz val="9"/>
        <color rgb="FFFF0000"/>
        <rFont val="Segoe UI"/>
        <family val="2"/>
      </rPr>
      <t>Es necesario subir a SAP la version definitiva antes de pasar Calidad.</t>
    </r>
    <r>
      <rPr>
        <sz val="9"/>
        <color rgb="FF363636"/>
        <rFont val="Segoe UI"/>
        <family val="2"/>
      </rPr>
      <t xml:space="preserve"> (angel)
Comprobar la instalacion</t>
    </r>
  </si>
  <si>
    <t>0973524310000</t>
  </si>
  <si>
    <t>CABLE SET DRAWBRIDGE</t>
  </si>
  <si>
    <t>Falta por conectar las alfombras del puente. 
W483 etiqueta erronea, marca J16, cuando debe ser J06</t>
  </si>
  <si>
    <t>0973525330000.00</t>
  </si>
  <si>
    <t>PROCESSOR RACK #1</t>
  </si>
  <si>
    <r>
      <t xml:space="preserve">Faltan etiquetas, RACK POWER BOX, poseidon?, pulsera y seta emergencia. (Jorge)
</t>
    </r>
    <r>
      <rPr>
        <sz val="9"/>
        <color rgb="FFFF0000"/>
        <rFont val="Segoe UI"/>
        <family val="2"/>
      </rPr>
      <t>Es necesario subir a SAP la version definitiva antes de pasar Calidad.</t>
    </r>
    <r>
      <rPr>
        <sz val="9"/>
        <color rgb="FF363636"/>
        <rFont val="Segoe UI"/>
        <family val="2"/>
      </rPr>
      <t xml:space="preserve"> 
Falta Hoja de ruta</t>
    </r>
  </si>
  <si>
    <t>0973524070000</t>
  </si>
  <si>
    <t>CABLE SET DISPLAY UNITS</t>
  </si>
  <si>
    <t>0973524070100</t>
  </si>
  <si>
    <t>CABLE SET VIDEO DISPLAY UNITS</t>
  </si>
  <si>
    <t>OK.</t>
  </si>
  <si>
    <t>0973524200600</t>
  </si>
  <si>
    <t>CABLE SET RJ45 EEQ#2</t>
  </si>
  <si>
    <t>Falta por instalar los adaptadores H1, H2 y H3. 
A0202W25 etiqueta erronea marca ETH2, pero debe ser ETH3. (jorge)</t>
  </si>
  <si>
    <t>0973524000100</t>
  </si>
  <si>
    <t>CABLE SET LAN INTERCONNECTION</t>
  </si>
  <si>
    <t xml:space="preserve">Faltan los mazos relacionados con el sistema visual. </t>
  </si>
  <si>
    <t>0973525420000.00</t>
  </si>
  <si>
    <t>FIRE DETECTION</t>
  </si>
  <si>
    <t>Falta por intalar la centralita y sus conexiones, W380. 
OJO!! Los sensores de humos estan duplicados, ya aparecen acopiados y referenciados enotras OPS (processor rack,EEQ2, EEQ4…)</t>
  </si>
  <si>
    <t>0973524420000</t>
  </si>
  <si>
    <t xml:space="preserve">CABLE SET FIRE DETECTION </t>
  </si>
  <si>
    <t>Falta el W375 (pendiente de fabricar in situ)</t>
  </si>
  <si>
    <t>0973525410000.00</t>
  </si>
  <si>
    <t>SMOKE GENERATION</t>
  </si>
  <si>
    <t>Falta SMOKE GENERATOR MACHINE ASSY</t>
  </si>
  <si>
    <t>0973524410000</t>
  </si>
  <si>
    <t>CABLE SET SMOKE</t>
  </si>
  <si>
    <t>Falta por instalar SMOKE CONTROL BOX, y por tanto las conexiones a dicho elemento. 
Falta por instalar W361 (pendiente del smoke generator) y W360 (parada diseño)</t>
  </si>
  <si>
    <t>0973525240000.00</t>
  </si>
  <si>
    <t>IOS STATION#1</t>
  </si>
  <si>
    <t xml:space="preserve">Falta por instalar seat panel, FFIOS panel (enviado a grabysur). </t>
  </si>
  <si>
    <t>0973525270800.00</t>
  </si>
  <si>
    <t>OBSERVER SEAT</t>
  </si>
  <si>
    <t>0973525480000.00</t>
  </si>
  <si>
    <t>DEBRIEFING STATION</t>
  </si>
  <si>
    <t xml:space="preserve">Pendiente disponibilidad de sala y mesa. </t>
  </si>
  <si>
    <t>0973525180000.00</t>
  </si>
  <si>
    <t>AFTERCABIN</t>
  </si>
  <si>
    <t xml:space="preserve">Falta el extintor, la pantalla del IOS#2, sensor de temperatura y los interlocks de la puerta. </t>
  </si>
  <si>
    <t>0973525290000.00</t>
  </si>
  <si>
    <t>VISUAL DISPLAY SYSTEM</t>
  </si>
  <si>
    <t>0973524017000</t>
  </si>
  <si>
    <t>CABLE SET VIDEO</t>
  </si>
  <si>
    <t xml:space="preserve">Faltan instalar los adaptadores </t>
  </si>
  <si>
    <t>0973524290000</t>
  </si>
  <si>
    <t>CABLE SET DISPLAY</t>
  </si>
  <si>
    <t>0973523060000.00</t>
  </si>
  <si>
    <t>CABLE SET DISPLAY PROJECTION</t>
  </si>
  <si>
    <t>0973523062000.00</t>
  </si>
  <si>
    <t>CABLE SET DISPLAY LAN</t>
  </si>
  <si>
    <t>0973523064000.00</t>
  </si>
  <si>
    <t>CABLE SET OPTICAL BLENDING</t>
  </si>
  <si>
    <t>0973523066000.00</t>
  </si>
  <si>
    <t>CABLE SET VACCUM</t>
  </si>
  <si>
    <t>0973523067000.00</t>
  </si>
  <si>
    <t>CABLE SET DISPLAY POWER</t>
  </si>
  <si>
    <t>0973543068700</t>
  </si>
  <si>
    <t>CABLE SET RELAY CARD</t>
  </si>
  <si>
    <t>TOTAL</t>
  </si>
  <si>
    <t>Diseño cerrado</t>
  </si>
  <si>
    <t>Ingenieria</t>
  </si>
  <si>
    <t>Sin nº de serie</t>
  </si>
  <si>
    <t>Control Producción</t>
  </si>
  <si>
    <t>Sin stock de materiales claves</t>
  </si>
  <si>
    <t>Montaje</t>
  </si>
  <si>
    <t>Parada</t>
  </si>
  <si>
    <t>Calidad</t>
  </si>
  <si>
    <t>Calidad NO OK</t>
  </si>
  <si>
    <t>Finalizada</t>
  </si>
  <si>
    <t>ICM</t>
  </si>
  <si>
    <t>Firmas SAP</t>
  </si>
  <si>
    <t>LM cerrada</t>
  </si>
  <si>
    <t>Materiales</t>
  </si>
  <si>
    <t>Diseño</t>
  </si>
  <si>
    <t>Instalación</t>
  </si>
  <si>
    <t xml:space="preserve">Última actualización de SAP: </t>
  </si>
  <si>
    <t xml:space="preserve"> 11/12/2024 19:57:13</t>
  </si>
  <si>
    <t>Descripción</t>
  </si>
  <si>
    <t>Pertenece</t>
  </si>
  <si>
    <t>Documentación</t>
  </si>
  <si>
    <t>Cantidad</t>
  </si>
  <si>
    <t>POWER ON</t>
  </si>
  <si>
    <t>PRIORIDAD</t>
  </si>
  <si>
    <t>S/N</t>
  </si>
  <si>
    <t>OP</t>
  </si>
  <si>
    <t>OP creada</t>
  </si>
  <si>
    <t>OP a producción</t>
  </si>
  <si>
    <t>LM SAP</t>
  </si>
  <si>
    <t>Apoyo</t>
  </si>
  <si>
    <t>¿Aparece en la PBS?</t>
  </si>
  <si>
    <t>¿Tiene incidencia?</t>
  </si>
  <si>
    <t>Ubicación</t>
  </si>
  <si>
    <t>Tipo</t>
  </si>
  <si>
    <t>OPS NEW</t>
  </si>
  <si>
    <t>0973524330100</t>
  </si>
  <si>
    <t>CABLE SET RJ45 PROCESSOR RACK #1</t>
  </si>
  <si>
    <t>0973524330100DE00_A0
0973524330100LM00_A1
0973525330000EQ00_A2</t>
  </si>
  <si>
    <t>Muy Alta</t>
  </si>
  <si>
    <t>jgdelapena</t>
  </si>
  <si>
    <t>Parada: Material</t>
  </si>
  <si>
    <t>25/11/2024</t>
  </si>
  <si>
    <t>05/12: Se solicitan a Cabanuillas los dos cables que faltaban por cargar en la OP. 
OP realizada con la del padre 0973524330100</t>
  </si>
  <si>
    <t>SI</t>
  </si>
  <si>
    <t>Fabricación</t>
  </si>
  <si>
    <t>0973525030500.00</t>
  </si>
  <si>
    <t>HAND MIC PANEL CAPT</t>
  </si>
  <si>
    <t>097320000000AI00_A1 0973525030500LM00_A0
0973525030500EQ00_A1</t>
  </si>
  <si>
    <t>NO</t>
  </si>
  <si>
    <t>Baja</t>
  </si>
  <si>
    <t>Parada: Diseño</t>
  </si>
  <si>
    <r>
      <rPr>
        <sz val="9"/>
        <color rgb="FF000000"/>
        <rFont val="Calibri"/>
        <family val="2"/>
      </rPr>
      <t xml:space="preserve">24/10: En Parada Pendiente de Dirección  si montar std 2,0 o std 2,1. 
</t>
    </r>
    <r>
      <rPr>
        <sz val="9"/>
        <color rgb="FF70AD47"/>
        <rFont val="Calibri"/>
        <family val="2"/>
      </rPr>
      <t xml:space="preserve">OP sin faltantes  </t>
    </r>
    <r>
      <rPr>
        <sz val="9"/>
        <color rgb="FF000000"/>
        <rFont val="Calibri"/>
        <family val="2"/>
      </rPr>
      <t xml:space="preserve">                                                                                                                En la reunión que se mantuvo con Dirección, se indicó que se fabriquen los paneles del std 2.0, ante la falta de información que tenemos por parte de Airbus actualmente sobre cuándo recibiremos el kit de partes con los paneles del 2.1.</t>
    </r>
  </si>
  <si>
    <t>0973525031000.00</t>
  </si>
  <si>
    <t>HEADSET PANEL FOURTH OCCUPANT</t>
  </si>
  <si>
    <t>097320000000AI00_A1 0973525031000LM00_A0
0973525031000EQ00_A0</t>
  </si>
  <si>
    <t>OP sin faltantes de material</t>
  </si>
  <si>
    <t>0973525060500.00</t>
  </si>
  <si>
    <t>HAND MIC PANEL F/O</t>
  </si>
  <si>
    <t>097320000000AI00_A1 0973525060500LM00_A0
0973525060500EQ00_A1</t>
  </si>
  <si>
    <r>
      <rPr>
        <sz val="9"/>
        <color rgb="FF000000"/>
        <rFont val="Calibri"/>
        <family val="2"/>
      </rPr>
      <t xml:space="preserve">24/10: En Parada Pendiente de Dirección  si montar std 2,0 o std 2,1. 
</t>
    </r>
    <r>
      <rPr>
        <sz val="9"/>
        <color rgb="FF70AD47"/>
        <rFont val="Calibri"/>
        <family val="2"/>
      </rPr>
      <t xml:space="preserve">OP sin faltantes    </t>
    </r>
    <r>
      <rPr>
        <sz val="9"/>
        <color rgb="FF000000"/>
        <rFont val="Calibri"/>
        <family val="2"/>
      </rPr>
      <t xml:space="preserve">                                                                                                              En la reunión que se mantuvo con Dirección, se indicó que se fabriquen los paneles del std 2.0, ante la falta de información que tenemos por parte de Airbus actualmente sobre cuándo recibiremos el kit de partes con los paneles del 2.1.</t>
    </r>
  </si>
  <si>
    <t>0973525070100.00</t>
  </si>
  <si>
    <t>LIGHTING/LOUDSPEAKER CP CAPT</t>
  </si>
  <si>
    <t>097320000000AI00_A1 0973525070100DE00_A0 0973525070100EQ00_A1 0973525070100LM00_A0</t>
  </si>
  <si>
    <t>Normal</t>
  </si>
  <si>
    <t>adalvarezm</t>
  </si>
  <si>
    <t>OP en montaje sin falantes.                                                                                                                                             30/09: Se corrige colores cables y se sube version A1</t>
  </si>
  <si>
    <t>0973525072400.00</t>
  </si>
  <si>
    <t>LANDING GEAR CONTROL &amp; INDICATOR PANEL</t>
  </si>
  <si>
    <t xml:space="preserve">097320000000AI00_A1 0973525072400DE00_A0 0973525072400EQ00_A1 0973525072400LM00_A0 </t>
  </si>
  <si>
    <t>OP en montaje sin faltantes</t>
  </si>
  <si>
    <t>0973525071300.00</t>
  </si>
  <si>
    <t>LIGHTING/LOUDSPEAKER CP F/O</t>
  </si>
  <si>
    <t xml:space="preserve">097320000000AI00_A1 0973525071200DE00_A0 0973525071200EQ00_A1 0973525071200LM00_A0 </t>
  </si>
  <si>
    <r>
      <rPr>
        <sz val="9"/>
        <color rgb="FF000000"/>
        <rFont val="Calibri"/>
        <family val="2"/>
      </rPr>
      <t xml:space="preserve">OP en montaje sin faltantes. Se actualiza EQ.
14/11: OP en montaje con los siguientes faltantes:                                                                                </t>
    </r>
    <r>
      <rPr>
        <b/>
        <sz val="9"/>
        <color rgb="FF70AD47"/>
        <rFont val="Calibri"/>
        <family val="2"/>
        <scheme val="minor"/>
      </rPr>
      <t xml:space="preserve"> </t>
    </r>
    <r>
      <rPr>
        <sz val="9"/>
        <color rgb="FF000000"/>
        <rFont val="Calibri"/>
        <family val="2"/>
        <scheme val="minor"/>
      </rPr>
      <t xml:space="preserve">                                                                                                                                                                                                                                                      30/09: Se corrige color del cableado y se cambia de version a A1
                                                                </t>
    </r>
  </si>
  <si>
    <t>0973525091300.00</t>
  </si>
  <si>
    <t>FLOOD LIGHT &amp; INTEGRAL LT PANEL</t>
  </si>
  <si>
    <t>097320000000AI00_A1 0973525091300EQ00_A0 0973525091300LM00_A0</t>
  </si>
  <si>
    <t>Kardex</t>
  </si>
  <si>
    <t>0973525091400.00</t>
  </si>
  <si>
    <t>FLOOD LIGHT PANEL</t>
  </si>
  <si>
    <t>097320000000AI00_A1 0973525091400EQ00_A1 0973525091400LM00_A0</t>
  </si>
  <si>
    <r>
      <t>Se han suministrado los tornillos.</t>
    </r>
    <r>
      <rPr>
        <b/>
        <sz val="9"/>
        <color rgb="FF000000"/>
        <rFont val="Calibri"/>
        <family val="2"/>
        <scheme val="minor"/>
      </rPr>
      <t xml:space="preserve"> </t>
    </r>
    <r>
      <rPr>
        <b/>
        <sz val="9"/>
        <color rgb="FFFF0000"/>
        <rFont val="Calibri"/>
        <family val="2"/>
        <scheme val="minor"/>
      </rPr>
      <t>Pendiente resolver la pintura de la tierra</t>
    </r>
    <r>
      <rPr>
        <b/>
        <sz val="9"/>
        <color rgb="FF000000"/>
        <rFont val="Calibri"/>
        <family val="2"/>
        <scheme val="minor"/>
      </rPr>
      <t xml:space="preserve">.          </t>
    </r>
    <r>
      <rPr>
        <sz val="9"/>
        <color rgb="FF000000"/>
        <rFont val="Calibri"/>
        <family val="2"/>
        <scheme val="minor"/>
      </rPr>
      <t xml:space="preserve">                                                                                                                  27-09 No hay tornillos para fijar el panel y hay dudas sobre quitar la pintura de la tierra.                                                                                                                  
</t>
    </r>
    <r>
      <rPr>
        <b/>
        <sz val="9"/>
        <color rgb="FF70AD47"/>
        <rFont val="Calibri"/>
        <family val="2"/>
        <scheme val="minor"/>
      </rPr>
      <t>OP sin faltantes</t>
    </r>
  </si>
  <si>
    <t>0973525091800.00</t>
  </si>
  <si>
    <t>COCKPIT DOOR PANEL</t>
  </si>
  <si>
    <t>097320000000AI00_A1 0973525091800DE00_A0 0973525091800EQ00_A2 0973525091800LM00_A0</t>
  </si>
  <si>
    <t>0973525092100.00</t>
  </si>
  <si>
    <t>SWITCHING PANEL</t>
  </si>
  <si>
    <t>097320000000AI00_A1 0973525092100DE00_A0 0973525092100EQ00_A1 0973525092100LM00_A0</t>
  </si>
  <si>
    <t>OP en montaje sin faltantes.</t>
  </si>
  <si>
    <t>0973525092300.00</t>
  </si>
  <si>
    <t>ENGINE PANEL</t>
  </si>
  <si>
    <t>097320000000AI00_A1 0973525092300DE00_A1 0973525092300EQ00_A1 0973525092300LM00_A1</t>
  </si>
  <si>
    <r>
      <rPr>
        <sz val="9"/>
        <color rgb="FF000000"/>
        <rFont val="Calibri"/>
        <family val="2"/>
      </rPr>
      <t xml:space="preserve">Plano corregido, Se añade MP2 código 0970785470500 cantidad= 2                                                                                                                                                                                                  05/12: OP en montaje. Tiene los siguientes faltantes:                                                                             * 0970785470100 - CARD SUPPORT 115VU </t>
    </r>
    <r>
      <rPr>
        <sz val="9"/>
        <color rgb="FF70AD47"/>
        <rFont val="Calibri"/>
        <family val="2"/>
      </rPr>
      <t xml:space="preserve">(El material entra en almacén y lo solicitamos a Cabanillas)      </t>
    </r>
    <r>
      <rPr>
        <sz val="9"/>
        <color rgb="FF000000"/>
        <rFont val="Calibri"/>
        <family val="2"/>
      </rPr>
      <t xml:space="preserve">                                                                                                                                                                                                                                                                                                                                                                                       09/10/24 Se actualiza la LM y la DE con la barra de sujecion necesaria para el equipo.                                                                                                                                           </t>
    </r>
  </si>
  <si>
    <t>0973525092400.00</t>
  </si>
  <si>
    <t>RUD TRIM &amp; PARKING BRAKE PANEL</t>
  </si>
  <si>
    <t>097320000000AI00_A1 0973525092400DE00_A0 0973525092400EQ00_A2 0973525092400LM00_A0</t>
  </si>
  <si>
    <t>21-11 La mecánica no coincide y hay  dudas con 3 hilos del cableado                                              OP en montaje sin faltantes.</t>
  </si>
  <si>
    <t>0973525100100.00</t>
  </si>
  <si>
    <t>GLARESHIELD CAPT</t>
  </si>
  <si>
    <t>097320000000AI00_A1 0973525100100DE00_A0 0973525100100EQ00_A1 0973525100100LM00_A0</t>
  </si>
  <si>
    <t xml:space="preserve">21-11 Falta mecánica sujección tarjetas                                                                                                                                              14/11: OP en montaje con los siguientes faltantes:                                                                       * 1500811004001 -  TOR AV CRUC  M3X4   INOX DIN965/ISO7046 (SolPed 1800113158/00010 Fecha pendiente)                                                                                                                                                                            * 0970785470800 - CARD SUPPORT 130VU (PO 4200570673/00030 Fecha entrega 18.11.2024)                                                                                                                                                                                                                                </t>
  </si>
  <si>
    <t>0973525100200.00</t>
  </si>
  <si>
    <t>GLARESHIELD F/O</t>
  </si>
  <si>
    <t xml:space="preserve">097320000000AI00_A1 0973525100200DE00_A0 0973525100200EQ00_A1 0973525100200LM00_A0 </t>
  </si>
  <si>
    <r>
      <rPr>
        <sz val="9"/>
        <color rgb="FF000000"/>
        <rFont val="Calibri"/>
        <family val="2"/>
      </rPr>
      <t xml:space="preserve">19-11 se queda parada porque falta mecánica                                                                      14/11: OP en montaje con los siguientes faltantes:                                                                          * 1500811004001 -  TOR AV CRUC  M3X4   INOX DIN965/ISO7046 (SolPed 1800113158/00010 Fecha pendiente)                                                                                 </t>
    </r>
    <r>
      <rPr>
        <sz val="9"/>
        <color rgb="FF000000"/>
        <rFont val="Calibri"/>
        <family val="2"/>
        <scheme val="minor"/>
      </rPr>
      <t xml:space="preserve">                                                                                                              * 0970785470800 - CARD SUPPORT 130VU (PO 4200570673/00030 Fecha entrega 18.11.2024)                                                                                                                                                                                                                                          </t>
    </r>
  </si>
  <si>
    <t>0973525110100.00</t>
  </si>
  <si>
    <t>LEFT LATERAL PANEL</t>
  </si>
  <si>
    <t>OVERHEAD</t>
  </si>
  <si>
    <t>097320000000AI00_A1
0973525110100EQ00_A2
0973525110100DE00_A0 0973525110100LM00_A0</t>
  </si>
  <si>
    <t>mgomezal</t>
  </si>
  <si>
    <r>
      <rPr>
        <sz val="9"/>
        <color rgb="FFFF0000"/>
        <rFont val="Calibri"/>
        <family val="2"/>
      </rPr>
      <t xml:space="preserve">12/11: PENDIENTE definir si cablear el boton HIGH ALT LANDING o montar nuevo placard. Pendiente OP de retrofit. </t>
    </r>
    <r>
      <rPr>
        <sz val="9"/>
        <color theme="1"/>
        <rFont val="Calibri"/>
        <family val="2"/>
      </rPr>
      <t xml:space="preserve">
'</t>
    </r>
    <r>
      <rPr>
        <sz val="9"/>
        <color rgb="FF70AD47"/>
        <rFont val="Calibri"/>
        <family val="2"/>
      </rPr>
      <t xml:space="preserve">OP en montaje sin faltantes        </t>
    </r>
    <r>
      <rPr>
        <sz val="9"/>
        <color rgb="FF000000"/>
        <rFont val="Calibri"/>
        <family val="2"/>
      </rPr>
      <t xml:space="preserve">                                                                                                          OP anterior 60004321
24/09:  Se detecta que la unidad no esta configurada como seriable.
30/09: Nueva versión A2 con las correcciones de las etiquetas
</t>
    </r>
  </si>
  <si>
    <t>0973525110200.00</t>
  </si>
  <si>
    <t>RIGHT LATERAL PANEL</t>
  </si>
  <si>
    <t>097320000000AI00_A1 0973525110200EQ00_A2 0973525110200DE00_A1 0973525110200LM00_A1</t>
  </si>
  <si>
    <t xml:space="preserve">25/11: Diseño modificado.                                                                                                              27/11 Esta OP tiene los siguientes faltantes:                                                                                 * 1390702000000 - SCREW/PLATES INST LIGHT CTR PEDEST Z210 (PO 4200582270/00010
 Fecha entrega 27.11.2024)                                                                                                               * 1540913000001 - ARA ABA EXT P/M4 INOX DIN 6798A (SolPed 1800114433/00030)   14/11: Pendiente eliminar dos botones.
OP en montaje sin faltantes                                                                                                                    OP anteior 60004325
</t>
  </si>
  <si>
    <t>0973525110300.00</t>
  </si>
  <si>
    <t>LEFT FLIGHT CONTROL PANEL</t>
  </si>
  <si>
    <t>097320000000AI00_A1 0973525110300EQ00_A2 0973525110300DE00_A0 0973525110300LM00_A0</t>
  </si>
  <si>
    <t xml:space="preserve">OP en montaje sin faltantes                                                                                                                                                                             </t>
  </si>
  <si>
    <t>0973525110400.00</t>
  </si>
  <si>
    <t>RIGHT FLIGHT CONTROL PANEL</t>
  </si>
  <si>
    <t>097320000000AI00_A1 0973525110400DE00_A0 0973525110400EQ00_A2 0973525110400LM00_A0</t>
  </si>
  <si>
    <t>0973525110500.00</t>
  </si>
  <si>
    <t>SYSTEMS PANEL</t>
  </si>
  <si>
    <t>097320000000AI00_A1 0973525110500EQ00_A2 0973525110500DE00_A0 0973525110500LM00_A0</t>
  </si>
  <si>
    <r>
      <rPr>
        <sz val="9"/>
        <color rgb="FF70AD47"/>
        <rFont val="Calibri"/>
        <family val="2"/>
      </rPr>
      <t xml:space="preserve">OP en montaje sin faltantes         </t>
    </r>
    <r>
      <rPr>
        <sz val="9"/>
        <color rgb="FF000000"/>
        <rFont val="Calibri"/>
        <family val="2"/>
      </rPr>
      <t xml:space="preserve">                                                                                                             OP anterior 60004320
19/09: Se ha actualizado la version del EQ a A3. Impresa y entregada en laboratorio.
24/09:  Se detecta que la unidad no esta configurada como seriable.
27/09: La versión de la EQ es la A2, no la A3. En laboratorio tienen la A3, pero es errónea.</t>
    </r>
  </si>
  <si>
    <t>0973525110600.00</t>
  </si>
  <si>
    <t>PASSENGER ADRESS PANEL</t>
  </si>
  <si>
    <t>097320000000AI00_A1 0973525110600LM00_A0 0973525110600EQ00_A1</t>
  </si>
  <si>
    <t xml:space="preserve">OP en montaje sin faltantes                                                                                                           </t>
  </si>
  <si>
    <t>0973525110700.00</t>
  </si>
  <si>
    <t>AIR COND PANEL</t>
  </si>
  <si>
    <t>097320000000AI00_A1 0973525110700EQ00_A3 0973525110700DE00_A0 0973525110700LM00_A0</t>
  </si>
  <si>
    <r>
      <rPr>
        <sz val="9"/>
        <color rgb="FF70AD47"/>
        <rFont val="Calibri"/>
        <family val="2"/>
        <scheme val="minor"/>
      </rPr>
      <t xml:space="preserve">OP en montaje sin faltantes      </t>
    </r>
    <r>
      <rPr>
        <sz val="9"/>
        <color rgb="FF000000"/>
        <rFont val="Calibri"/>
        <family val="2"/>
        <scheme val="minor"/>
      </rPr>
      <t xml:space="preserve">                                                                                                         OP anterior 60004323
24/09 Se ha actualizado el EQ a la version A3.
24/09:  Se detecta que la unidad no esta configurada como seriable.
</t>
    </r>
  </si>
  <si>
    <t>0973525110800.00</t>
  </si>
  <si>
    <t>ELEC PANEL</t>
  </si>
  <si>
    <t>097320000000AI00_A1 0973525110800EQ00_A1 0973525110800DE00_A1 0973525110800LM00_A1</t>
  </si>
  <si>
    <r>
      <rPr>
        <sz val="9"/>
        <color rgb="FF70AD47"/>
        <rFont val="Calibri"/>
        <family val="2"/>
        <scheme val="minor"/>
      </rPr>
      <t xml:space="preserve">14/11: Se sube versión A1 del plano mecanico.      </t>
    </r>
    <r>
      <rPr>
        <sz val="9"/>
        <color rgb="FFFF0000"/>
        <rFont val="Calibri"/>
        <family val="2"/>
        <scheme val="minor"/>
      </rPr>
      <t xml:space="preserve">                                                                                                20/11: OP en montaje con los siguientes faltantes:           </t>
    </r>
    <r>
      <rPr>
        <sz val="9"/>
        <color rgb="FF000000"/>
        <rFont val="Calibri"/>
        <family val="2"/>
        <scheme val="minor"/>
      </rPr>
      <t xml:space="preserve">                                                                                                                                                                                                             * 1390702000000 - SCREW/PLATES INST LIGHT CTR PEDEST Z210 (PO 4200582270/00010 Fecha entrega 27.11.2024)                                                                                                                      
</t>
    </r>
  </si>
  <si>
    <t>0973525110900.00</t>
  </si>
  <si>
    <t>HYD/FUEL PANEL</t>
  </si>
  <si>
    <t>097320000000AI00_A1 0973525110900EQ00_A1 0973525110900DE00_A0 0973525110900LM00_A0</t>
  </si>
  <si>
    <r>
      <rPr>
        <sz val="9"/>
        <color rgb="FF70AD47"/>
        <rFont val="Calibri"/>
        <family val="2"/>
        <scheme val="minor"/>
      </rPr>
      <t xml:space="preserve">OP en montaje sin faltantes   </t>
    </r>
    <r>
      <rPr>
        <sz val="9"/>
        <color rgb="FF000000"/>
        <rFont val="Calibri"/>
        <family val="2"/>
        <scheme val="minor"/>
      </rPr>
      <t xml:space="preserve">                                                                                                                    OP anterior 60004322 
24/09:  Se detecta que la unidad no esta configurada como seriable.
</t>
    </r>
  </si>
  <si>
    <t>0973525111000.00</t>
  </si>
  <si>
    <t>CTRL AND INDICATING PANEL LT</t>
  </si>
  <si>
    <t>097320000000AI00_A1 0973525111000EQ00_A0 0973525111000LM00_A0</t>
  </si>
  <si>
    <r>
      <rPr>
        <sz val="9"/>
        <color rgb="FF70AD47"/>
        <rFont val="Calibri"/>
        <family val="2"/>
        <scheme val="minor"/>
      </rPr>
      <t>OP sin faltantes</t>
    </r>
    <r>
      <rPr>
        <sz val="9"/>
        <color rgb="FF000000"/>
        <rFont val="Calibri"/>
        <family val="2"/>
        <scheme val="minor"/>
      </rPr>
      <t xml:space="preserve">                                                                                                                      OP anterior 60004399
Ingeniería nos ha entregado el panel                                                                                 Calidad NOK faltan etiquetas en el panel</t>
    </r>
  </si>
  <si>
    <t>0973525111100.00</t>
  </si>
  <si>
    <t>CIRCUIT BREAKER PANEL</t>
  </si>
  <si>
    <t>0973520000000AI00_A0 0973525111100EQ00_A0 0973525111100LM00_A0 0973525111100DE00_A0</t>
  </si>
  <si>
    <t>27/08: LM no cargada
30/09: Sin documentación en SAP. Pendiente LM</t>
  </si>
  <si>
    <t>0973525111200.00</t>
  </si>
  <si>
    <t>MAINTENANCE PANEL</t>
  </si>
  <si>
    <t>097320000000AI00_A1 0973525111200EQ00_A1 0973525111200DE00_A0 0973525111200LM00_A0</t>
  </si>
  <si>
    <t>OP anterior 60004326                                                                                                                                                                                                                             * Falta Panel con FIN NO. 50VU (Ingeniería no encuenrta la unidad 50 VU del std 2.0 y
está previsto que llegue la unidad 50 VU del Std 2.1 a mediados de diciembre)                                                                                                                                                                         
23/09: Van a ser reemplazada y actualizada de la versión 2.0 a su versión 2.1, lo que indica que el ASSEMBLY y PLACARD no corresponde a la versión que se va a instalar en el simulador.</t>
  </si>
  <si>
    <t>0973525111500.00</t>
  </si>
  <si>
    <t>LEFT READING LIGHT PANEL</t>
  </si>
  <si>
    <t>097320000000AI00_A1 0973525111500EQ00_A2 0973525111500LM00_A1 0973525111500DE00_A1</t>
  </si>
  <si>
    <t xml:space="preserve">18/11: Esta OP tiene los siguientes faltantes de material:                                         * 1204101933620 -CNC CIR 14-19 19P (M) MS3470L14-19P (Pdte. cambiar contraseña de Ingeniería a Producción).                                                                                                * 1390702000000 - SCREW/PLATES INST LIGHT CTR PEDEST Z210 (PO 4200582270/00010 Fecha entrega 27.11.2024).                                                                      
13/11: Se modifica diseño que indica como montar el nuevo conector.
24/10 el conector que viene no tiene suficiente pines para cablear lo que indica el EQ                                                                                                                                                                                                                                           </t>
  </si>
  <si>
    <t>0973525111600.00</t>
  </si>
  <si>
    <t>RIGHT READING LIGHT PANEL</t>
  </si>
  <si>
    <t>097320000000AI00_A1 0973525111600EQ00_A2 0973525111600LM00_A1 0973525111600DE00_A1</t>
  </si>
  <si>
    <t xml:space="preserve">18/11: Esta OP tiene los siguientes faltantes de material:                                         * 1204101933620 -CNC CIR 14-19 19P (M) MS3470L14-19P (Pdte. cambiar contraseña de Ingeniería a Producción).                                                                                                * 1390702000000 - SCREW/PLATES INST LIGHT CTR PEDEST Z210 (PO 4200582270/00010 Fecha entrega 27.11.2024).                                                                     
13/11: Se modifica diseño que indica como montar el nuevo conector.
24/10 el conector que viene no tiene suficiente pines para cablear lo que indica el EQ                                                                                                                                                                                                                                           </t>
  </si>
  <si>
    <t>0973525111700.00</t>
  </si>
  <si>
    <t>GND HF DATA LINK</t>
  </si>
  <si>
    <t>097320000000AI00_A1 0973525111700EQ00_A0 0973525111700LM00_A0 0973525111700DE00_A0</t>
  </si>
  <si>
    <t xml:space="preserve">OP en montaje sin faltantes                                                                                   </t>
  </si>
  <si>
    <t>0973525112000.00</t>
  </si>
  <si>
    <t xml:space="preserve">FIRE PANEL-ENGINE APU </t>
  </si>
  <si>
    <t>097320000000AI00_A1 0973525112000EQ00_A2 0973525112000LM00_A0 0973525112000DE00_A0</t>
  </si>
  <si>
    <t>0973525112300.00</t>
  </si>
  <si>
    <t xml:space="preserve">CONTROL-COCKPIT SYSTEM </t>
  </si>
  <si>
    <t>097320000000AI00_A1 0973525112300EQ00_A0 0973525112300LM00_A0</t>
  </si>
  <si>
    <t>* Falta Panel 0916625010800 - 24MQ - CONTROL-COCKPIT SYSTEM (Se está comprando fuera, Ingeniería nos lo entregará cuando llegue).</t>
  </si>
  <si>
    <t>0973525140000.00</t>
  </si>
  <si>
    <t>ADIRS PANEL</t>
  </si>
  <si>
    <t>097320000000AI00_A1 0973525140000EQ00_A1 0973525140000DE00_A0 0973525140000LM00_A0</t>
  </si>
  <si>
    <t xml:space="preserve">OP en montaje sin faltantes.                                                                                     </t>
  </si>
  <si>
    <t>0973525140100.00</t>
  </si>
  <si>
    <t>REAR CB PANEL#1</t>
  </si>
  <si>
    <t>097320000000AI00_A1 0973525140100LM00_A0 0973525140100EQ00_A0</t>
  </si>
  <si>
    <t>0973525140200.00</t>
  </si>
  <si>
    <t>REAR CB PANEL#2</t>
  </si>
  <si>
    <t>097320000000AI00_A1 0973525140200LM00_A0 0973525140200EQ00_A0</t>
  </si>
  <si>
    <t>Ha llegado el material de Cabanillas. Solicitamos mecánica a Ingeniería</t>
  </si>
  <si>
    <t>0973525140300.00</t>
  </si>
  <si>
    <t>REAR CB PANEL#3</t>
  </si>
  <si>
    <t>097320000000AI00_A1 0973525140300LM00_A0 0973525140300EQ00_A0</t>
  </si>
  <si>
    <t>0973525140400.00</t>
  </si>
  <si>
    <t>REAR CB PANEL#4</t>
  </si>
  <si>
    <t>097320000000AI00_A1 0973525140400LM00_A0 0973525140400EQ00_A0</t>
  </si>
  <si>
    <t xml:space="preserve">Material solicitado a Cabanillas. Cuando llegue pediremos a Ingenieria la mecánica y sacaremos la OP a laboratorio. </t>
  </si>
  <si>
    <t>0973525140500.00</t>
  </si>
  <si>
    <t>REAR CB PANEL#5</t>
  </si>
  <si>
    <t>097320000000AI00_A1 0973525140500LM00_A0 0973525140500EQ00_A0</t>
  </si>
  <si>
    <t>19-11-24 falta definir tornillería</t>
  </si>
  <si>
    <t>0973525140600.00</t>
  </si>
  <si>
    <t>CB DISTRIBUTION PANEL #1</t>
  </si>
  <si>
    <t>097320000000AI00_A1 0973525140600EQ00_A1 0973525140600LM00_A0</t>
  </si>
  <si>
    <t>0973525140700.00</t>
  </si>
  <si>
    <t>CB DISTRIBUTION PANEL #2</t>
  </si>
  <si>
    <t>097320000000AI00_A1 0973525140700EQ00_A1 0973525140700LM00_A0</t>
  </si>
  <si>
    <t>Material solicitado a Cabanillas. Cuando llegue pediremos a Ingenieria la mecánica y sacaremos la OP a laboratorio (Comprobar antes de sacarla que viene rail, mecánica)</t>
  </si>
  <si>
    <t>0973525140800.00</t>
  </si>
  <si>
    <t>CB DISTRIBUTION PANEL #3</t>
  </si>
  <si>
    <t>097320000000AI00_A1 0973525140800EQ00_A1 0973525140800LM00_A0</t>
  </si>
  <si>
    <t>0973525190100.00</t>
  </si>
  <si>
    <t>RTIO ASSY</t>
  </si>
  <si>
    <t>097320000000AI00_A1
0973525190100DE00_A0
0973525190100EQ00_A0
0973525190100LM00_A0</t>
  </si>
  <si>
    <t xml:space="preserve">* Falta 0973528190100 - RTIO SUBRACK MECH (PO 4200574772/00010 Fecha entrega 27.11.2024)                                                                                                                                                                                  
</t>
  </si>
  <si>
    <t>0973525190300.00</t>
  </si>
  <si>
    <t>OVHDP</t>
  </si>
  <si>
    <t>097320000000AI00_A1 0973525190300LM00_A1
0973525190300EQ00_A1 0973525190300DE00_A1</t>
  </si>
  <si>
    <t>05/12: OP en montaje con faltantes*</t>
  </si>
  <si>
    <t>0973525191400.00</t>
  </si>
  <si>
    <t>PD#1</t>
  </si>
  <si>
    <t>097320000000AI00_A1 0973525191400LM00_A0 0973525191400EQ00_A0 0973525191400DE00_A0</t>
  </si>
  <si>
    <t>Muy alta</t>
  </si>
  <si>
    <t xml:space="preserve">9-12 parada por falta de tarjetas                          '14/11: OP en montaje con faltantes*                                                                                                                         * 0973528190300 _ DISTRIBUTION PANEL ASSY (PO  4200579198/00010 Fecha entrega 09.12.2024). Se saca de CABANILLAS el DISTRIBUTION PANEL ASSY del E7 para ver si podemos avanzar algo en la OP (0970825471000)
</t>
  </si>
  <si>
    <t>0973525191500.00</t>
  </si>
  <si>
    <t>PD#2</t>
  </si>
  <si>
    <t>097320000000AI00_A1 0973525191500EQ00_A0 0973525191500LM00_A0 0973525191500DE00_A0</t>
  </si>
  <si>
    <t xml:space="preserve">
                                                                                                                                                * Falta 0973528190300 _ DISTRIBUTION PANEL ASSY (PO  4200579198/00010 Fecha entrega 09.12.2024). 
</t>
  </si>
  <si>
    <t>0973525201000.00</t>
  </si>
  <si>
    <t>PD#3</t>
  </si>
  <si>
    <t>0973520000000AI00_A1 0973525201000EQ00_A0 0973525201000DE00_A0 0973525201000LM00_A0</t>
  </si>
  <si>
    <t>0973525240200.00</t>
  </si>
  <si>
    <t>IOS CONNECTION BOX</t>
  </si>
  <si>
    <t>097320000000AI00_A1 0973525240200EQ00_A0 0973525240200LM00_A0</t>
  </si>
  <si>
    <t>0972825240500.00</t>
  </si>
  <si>
    <t>IOS Emergency Panel</t>
  </si>
  <si>
    <t>097320000000AI00_A1 0973525240300LM00_A0 0973525240300EQ00_A0</t>
  </si>
  <si>
    <t>OP en montaje sin faltantes                                                                                                                     30/09: OJO  es un código antiguo</t>
  </si>
  <si>
    <t>0973525240400.00</t>
  </si>
  <si>
    <t>FFIOS Panel</t>
  </si>
  <si>
    <t>097320000000AI00_A1 0973525240400LM00_A0 0973525240400EQ00_A0</t>
  </si>
  <si>
    <t>0973525240600.00</t>
  </si>
  <si>
    <t>IOS Audio Connection Panel</t>
  </si>
  <si>
    <t>097320000000AI00_A1 0973525240600EQ00_A0 0973525240600LM00_A0</t>
  </si>
  <si>
    <t xml:space="preserve">* Falta 1390705801095 - IOS AUDIO CONNECTION PANEL A320 (PO 4200583170/00060 Fecha entrega 23.02.2025)                                              
</t>
  </si>
  <si>
    <t>0973525270900.00</t>
  </si>
  <si>
    <t>Audio and Seat Panel</t>
  </si>
  <si>
    <t>097320000000AI00_A1 0973525270900EQ00_A0 0973525270900LM00_A0</t>
  </si>
  <si>
    <t>0972825271200.00</t>
  </si>
  <si>
    <t>CTRL &amp; EM PANEL</t>
  </si>
  <si>
    <t>0973520000000AI00_A1
0972825271200DM00_A1
0972825271200LM00_A0</t>
  </si>
  <si>
    <r>
      <rPr>
        <sz val="9"/>
        <color rgb="FF70AD47"/>
        <rFont val="Calibri"/>
        <family val="2"/>
        <scheme val="minor"/>
      </rPr>
      <t>OP en montaje sin faltantes</t>
    </r>
    <r>
      <rPr>
        <sz val="9"/>
        <color rgb="FF000000"/>
        <rFont val="Calibri"/>
        <family val="2"/>
        <scheme val="minor"/>
      </rPr>
      <t xml:space="preserve">                                                                                               Los bloques estan desamiaso juntos- Solución, se pone uno en horizontal. Anotaciones en la documentación. 
</t>
    </r>
  </si>
  <si>
    <t>0972825272800.00</t>
  </si>
  <si>
    <t>FIRE ALARM PANEL</t>
  </si>
  <si>
    <t>0973520000000AI00_A1
0972825272800DE00_A0
0972825272800LM00_A0</t>
  </si>
  <si>
    <t xml:space="preserve">Material solicitado a Cabanillas. Cuando llegue sacaremos la OP a laboratorio.                                                                                                     (El panel ya nos lo han entregado, se ha desmontado de cabina)                                                                          </t>
  </si>
  <si>
    <t>0973525300100.00</t>
  </si>
  <si>
    <t>MIPPDP</t>
  </si>
  <si>
    <t>097320000000AI00_A1 0973525300100EQ00_A0 0973525300100LM00_A0 0973525300100DE00_A0</t>
  </si>
  <si>
    <t xml:space="preserve">9-12 Parada por falta tarjetas                          '18/11: OP con faltantes*                                                                                                                         * 0973528190300 _ DISTRIBUTION PANEL ASSY (PO  4200579198/00010 Fecha entrega 09.12.2024).Se saca de Cabaillas el DISTRIBUTION PANEL ASSY del E7 para ver si podemos avanzar algo en la OP (0970825471000)
</t>
  </si>
  <si>
    <t>0973525224000.00</t>
  </si>
  <si>
    <t>EEQ DIST BOX</t>
  </si>
  <si>
    <t>VARIOS</t>
  </si>
  <si>
    <t>0973520000000AI00_A1</t>
  </si>
  <si>
    <t>28/11/2024 subido a ICM</t>
  </si>
  <si>
    <t>0973524191400</t>
  </si>
  <si>
    <t>A020114</t>
  </si>
  <si>
    <t>0973524191400DI00_A0 0973524191400LM00_A0</t>
  </si>
  <si>
    <t>N/A</t>
  </si>
  <si>
    <t>OP instalación mazos W002, 04, 05, 06, 07</t>
  </si>
  <si>
    <t>0973545000200</t>
  </si>
  <si>
    <t>W002</t>
  </si>
  <si>
    <t>CABLE PD/CABINA</t>
  </si>
  <si>
    <t>0973545000200LM00_A0 0973545000200EQ00_A0</t>
  </si>
  <si>
    <t>Alta</t>
  </si>
  <si>
    <t>0973545000400</t>
  </si>
  <si>
    <t>W004</t>
  </si>
  <si>
    <t>0973545000400LM00_A1 0973545000400EQ00_A1</t>
  </si>
  <si>
    <t xml:space="preserve">MODIFICADA POR DISEÑO porque en LM solo aparececía un metro de 2xAWG20 y en EQ no asegura que se utilice ese cable                                                                                                                </t>
  </si>
  <si>
    <t>0973545000500</t>
  </si>
  <si>
    <t>W005</t>
  </si>
  <si>
    <t>0973545000500EQ00_A0 0973545000500LM00_A0</t>
  </si>
  <si>
    <r>
      <rPr>
        <sz val="9"/>
        <color rgb="FF70AD47"/>
        <rFont val="Calibri"/>
        <family val="2"/>
        <scheme val="minor"/>
      </rPr>
      <t xml:space="preserve">OP en montaje sin faltantes </t>
    </r>
    <r>
      <rPr>
        <sz val="9"/>
        <color rgb="FF0D0D0D"/>
        <rFont val="Calibri"/>
        <family val="2"/>
        <scheme val="minor"/>
      </rPr>
      <t xml:space="preserve">                                                                                               * 1214003233761 - CNC CIR  18-32  (32H)  MS3476L18-32SW (Entregado a Producción)
</t>
    </r>
  </si>
  <si>
    <t>0973545000600</t>
  </si>
  <si>
    <t>W006</t>
  </si>
  <si>
    <t>0973545000600EQ00_A0 0973545000600LM00_A0</t>
  </si>
  <si>
    <t xml:space="preserve">14/11: OP en montaje con los siguientes faltantes:                                                                            * 1214002633727 - CNC CIR 16-26  26P/H PLUG MS3476L16-26S (Cantidad insuficiente, nos falta 1 Ud. Se va a solicitar traspaso del centro 8000).
</t>
  </si>
  <si>
    <t>0973545000700</t>
  </si>
  <si>
    <t>W007</t>
  </si>
  <si>
    <t>0973545000700EQ00_A0 0973545000700LM00_A0</t>
  </si>
  <si>
    <t xml:space="preserve">05/11: OP en montaje sin faltantes.                                                                                                   Hay una incidencia documental porque no se indican los colores de unos cables.                                                                                                          
</t>
  </si>
  <si>
    <t>A020115</t>
  </si>
  <si>
    <t>0973524191500DI00_A0 0973524191500LM00_A0</t>
  </si>
  <si>
    <t>27/08: LM no cargada</t>
  </si>
  <si>
    <t>0973545001000</t>
  </si>
  <si>
    <t>W010</t>
  </si>
  <si>
    <t>0973545001200</t>
  </si>
  <si>
    <t>W012</t>
  </si>
  <si>
    <t>0973545001300</t>
  </si>
  <si>
    <t>W013</t>
  </si>
  <si>
    <t>0973545001400</t>
  </si>
  <si>
    <t>W014</t>
  </si>
  <si>
    <t>0973545002300</t>
  </si>
  <si>
    <t>W022</t>
  </si>
  <si>
    <t xml:space="preserve">0973545002300EQ00_A3 0973545002300LM00_A0 </t>
  </si>
  <si>
    <t xml:space="preserve">OP en montaje sin faltantes.                                                                                                        Entregado a Producción  1214003233731 CNC CIR 18-32  32P/H PLUG MS3476L18-32SX                                                                                                       </t>
  </si>
  <si>
    <t>0973545002200</t>
  </si>
  <si>
    <t>W023</t>
  </si>
  <si>
    <t>0973545002200EQ00_A1 0973545002200LM00_A0</t>
  </si>
  <si>
    <r>
      <rPr>
        <sz val="9"/>
        <color rgb="FF000000"/>
        <rFont val="Calibri"/>
        <family val="2"/>
        <scheme val="minor"/>
      </rPr>
      <t>17/10: Entregado el conector correcto (El conector 1214001933721 MS3476L14-19S ha venido mal, en su lugar hay otro.</t>
    </r>
    <r>
      <rPr>
        <sz val="9"/>
        <color rgb="FF70AD47"/>
        <rFont val="Calibri"/>
        <family val="2"/>
        <scheme val="minor"/>
      </rPr>
      <t xml:space="preserve"> Se abre incidencia nº 337 y nos envían el correcto).</t>
    </r>
  </si>
  <si>
    <t>0973545002400</t>
  </si>
  <si>
    <t>W024</t>
  </si>
  <si>
    <t>0973545002400EQ00_A1 0973545002400LM00_A1</t>
  </si>
  <si>
    <r>
      <rPr>
        <sz val="9"/>
        <color rgb="FF000000"/>
        <rFont val="Calibri"/>
        <family val="2"/>
        <scheme val="minor"/>
      </rPr>
      <t xml:space="preserve">OP en montaje sin faltantes                                                                                                   * 1214003132620 - CNC CIR 18-31 31P (H) PLUG M83723/75R183 </t>
    </r>
    <r>
      <rPr>
        <b/>
        <sz val="9"/>
        <color rgb="FF70AD47"/>
        <rFont val="Calibri"/>
        <family val="2"/>
        <scheme val="minor"/>
      </rPr>
      <t>(Entregado a Producción)</t>
    </r>
  </si>
  <si>
    <t>0973545002500</t>
  </si>
  <si>
    <t>W025</t>
  </si>
  <si>
    <t>0973545002500EQ00_A1 0973545002500LM00_A2</t>
  </si>
  <si>
    <t>OP sin faltantes 
(09/10) · LM pasa a versión A1 · Modificación H1 1204090200020 por componente 1209990020620 cantidad=20</t>
  </si>
  <si>
    <t>0973545002600</t>
  </si>
  <si>
    <t>W026</t>
  </si>
  <si>
    <t>0973545002600EQ00_A2 0973545002600LM00_A1</t>
  </si>
  <si>
    <r>
      <rPr>
        <sz val="9"/>
        <color rgb="FF70AD47"/>
        <rFont val="Calibri"/>
        <family val="2"/>
      </rPr>
      <t xml:space="preserve">OP en montaje sin faltantes </t>
    </r>
    <r>
      <rPr>
        <sz val="9"/>
        <color rgb="FF000000"/>
        <rFont val="Calibri"/>
        <family val="2"/>
      </rPr>
      <t xml:space="preserve">                                                                                                  * 1204800600000 - CNC CIR PANEL 08-35 6P (M) AWG22 ROJO  (Entregado a Producción)
(09/10) · LM pasa a versión A1 · · Modificación en cantidad pines H1 (1204090200020) cantidad nueva=36
· Añadido H40 (1209990020620)cantidad=60</t>
    </r>
  </si>
  <si>
    <t>0973545003000</t>
  </si>
  <si>
    <t>W030</t>
  </si>
  <si>
    <t>0973545003000EQ00_A1 0973545003000LM00_A1</t>
  </si>
  <si>
    <t>OP sin faltantes, en montaje 
(09/10) · LM pasa a versión A1 ·  Cambia el material 1204090200020 (H1) por el material 1209990020620 cantidad=35
· Modificación en cantidad de cables W1 (1220100223930) cantidadW1=225 y W2 (1220100163930) cantidadW2=150</t>
  </si>
  <si>
    <t>0973524300100</t>
  </si>
  <si>
    <t>A0401</t>
  </si>
  <si>
    <t>0973524300100LM00_A0 0973524300100DI00_A0</t>
  </si>
  <si>
    <t>OP instalación mazos W036, 37, 38, 39, 40,41, 42, 44</t>
  </si>
  <si>
    <t>0973545003600</t>
  </si>
  <si>
    <t>W036</t>
  </si>
  <si>
    <t xml:space="preserve">14/11: Falta un conector 1214103233621 CNC CIR 18-32 32P (H) MS3470L18-32SW (No hay stock en almacén y no deja cargarlo nuevamente)                                              28/10: 1214001933721 - CNC CIR AER 14-19 (19H) MS3476L14-19S NO ha venido en su lugar han enviado 2 Uds. del 1214101933621 - CNC CIR 14-19 (19H) MS3470L14-19S (Posición 6). Se abre incidencia nº 324 y nos envían el correcto. </t>
  </si>
  <si>
    <t>0973545003700</t>
  </si>
  <si>
    <t>W037</t>
  </si>
  <si>
    <t>0973545003800</t>
  </si>
  <si>
    <t>W038</t>
  </si>
  <si>
    <t>0973545003900</t>
  </si>
  <si>
    <t>W039</t>
  </si>
  <si>
    <t>OP sin faltantes</t>
  </si>
  <si>
    <t>0973545004000</t>
  </si>
  <si>
    <t>W040</t>
  </si>
  <si>
    <t xml:space="preserve">0973545004000LM00_A1 0973545004000EQ00_A1 </t>
  </si>
  <si>
    <t xml:space="preserve">OP sin faltantes
</t>
  </si>
  <si>
    <t>0973545004100</t>
  </si>
  <si>
    <t>W041</t>
  </si>
  <si>
    <t>0973545004100LM00_A1 0973545004100EQ00_A1</t>
  </si>
  <si>
    <t xml:space="preserve">14/11: Se carga en la OP 1212001590501 - CNC SUB-D 15H S/PINES CRIMP ROHS (Se solicita por RS 812-6368) 
 21-10 El conector P4 no viene indicado en la LM por lo que no sabemos cuál es? Habrá que servirlo cuando nos lo indiquen.         </t>
  </si>
  <si>
    <t>0973545004400</t>
  </si>
  <si>
    <t>W044</t>
  </si>
  <si>
    <t>OP sin faltantes, en montaje</t>
  </si>
  <si>
    <t>0973524201800</t>
  </si>
  <si>
    <t>A0202</t>
  </si>
  <si>
    <t>0973524201800DI00_A0
0972824008000DE00_A1
0973524201800LM00_A0
0973524201800LC00_A0</t>
  </si>
  <si>
    <t>rochoa</t>
  </si>
  <si>
    <t>Parada: Instalación</t>
  </si>
  <si>
    <r>
      <rPr>
        <sz val="9"/>
        <color rgb="FFFF0000"/>
        <rFont val="Calibri"/>
        <family val="2"/>
      </rPr>
      <t xml:space="preserve">22/11: Parada Instalación. Para instalar esta unidad es necesario previamente tener instalado AVICOM y AVIONICS DP.
</t>
    </r>
    <r>
      <rPr>
        <sz val="9"/>
        <color rgb="FF000000"/>
        <rFont val="Calibri"/>
        <family val="2"/>
      </rPr>
      <t xml:space="preserve">Los códigos 0972845008001, 0972845008002, 0972845008003 ya se han fabricado en laboratorio. 
</t>
    </r>
  </si>
  <si>
    <t>0972845008001</t>
  </si>
  <si>
    <t>W081</t>
  </si>
  <si>
    <t>0972845008001LM00_A0
0972824008000DE00_A1</t>
  </si>
  <si>
    <t>0972845008002</t>
  </si>
  <si>
    <t>W082</t>
  </si>
  <si>
    <t xml:space="preserve">OP en montaje sin faltantes. </t>
  </si>
  <si>
    <t>0972845008003</t>
  </si>
  <si>
    <t>W083</t>
  </si>
  <si>
    <t>A020216</t>
  </si>
  <si>
    <t>0973524201600LM00_A0 0973524201600DI00_A0</t>
  </si>
  <si>
    <t>0973545009100</t>
  </si>
  <si>
    <t>W091</t>
  </si>
  <si>
    <t>CABLE AvDP/PD</t>
  </si>
  <si>
    <t>0973545009100LM00_A0 0973545009100EQ00_A0</t>
  </si>
  <si>
    <t>0973545009200</t>
  </si>
  <si>
    <t>W092</t>
  </si>
  <si>
    <t>0973545009200EQ00_A0 0973545009200LM00_A0</t>
  </si>
  <si>
    <t>0973545009300</t>
  </si>
  <si>
    <t>W093</t>
  </si>
  <si>
    <t>0973545009300LM00_A0 0973545009200EQ00_A0</t>
  </si>
  <si>
    <t>0973525330000DI00_A0
0973524000100DE00_A0
0973524000100LM00_A0</t>
  </si>
  <si>
    <t xml:space="preserve">Material solicitado a Cabanillas. Cuando llegue sacaremos la OP a laboratorio. Esta OP tiene los siguientes faltantes:                                                                                            * 1229508280505 - CBL EQ UTP RJ45-M/M 50FT AMAR CAT6 LSZH ( PO 4200582605/00060 Fecha entrega 22.11.2024)                                                                                  OP PADRE
</t>
  </si>
  <si>
    <t>PROCESSOR RACK#1</t>
  </si>
  <si>
    <t>0973520000000AI00_A1
0973525330000DM00_A1
0973525330000EQ00_A2
0973525330000LM00_A0
0973525330000DI00_A0</t>
  </si>
  <si>
    <t>26/11: Material solicitado a Cabanillas. Esta OP tiene los siguientes faltantes:                     * 1705502541000 - PANEL PLASTI BLANKING 1U 19” 45X483X28MM (Solo han llegado 4 Uds. de RS 779-4070)</t>
  </si>
  <si>
    <t>0973545050900</t>
  </si>
  <si>
    <t>W509</t>
  </si>
  <si>
    <t>0973545050900DE00_A0 0973545050900LM00_A0</t>
  </si>
  <si>
    <t>funtaru</t>
  </si>
  <si>
    <t>0973545084300</t>
  </si>
  <si>
    <t>EMS PWR RACK</t>
  </si>
  <si>
    <t>0973545084300EQ00_A0 0973545084300LM00_A0</t>
  </si>
  <si>
    <t>Material solicitado a Cabanillas. Cuando llegue sacaremos la OP a laboratorio.</t>
  </si>
  <si>
    <t>0973545047400</t>
  </si>
  <si>
    <t>W474</t>
  </si>
  <si>
    <t>EM PWR RACK</t>
  </si>
  <si>
    <t>0973545047400LM00_A0 0973545047400EQ00_A0</t>
  </si>
  <si>
    <t>0973524330300</t>
  </si>
  <si>
    <t>CABLE SET USB PROCESSOR RACK #1</t>
  </si>
  <si>
    <t>0973524330300DE00_A0
0973524330300LM00_A0</t>
  </si>
  <si>
    <t>OP AGRUPADOR                                                                                                                                               *Falta 3210103550300 - CBL EQUI USB 2.0(M/M) 480MBPS TIP A L=3M (PO 4200586593/00010 Fecha entrega 04.12.2024)</t>
  </si>
  <si>
    <t>CABLE SET RTIO</t>
  </si>
  <si>
    <t>0973524190100LM00_A0 0973524190100DI00_A0</t>
  </si>
  <si>
    <t>OP instalación mazos W421,23, 24, 25</t>
  </si>
  <si>
    <t>0973525133000.00</t>
  </si>
  <si>
    <t>CAMERA DBS ASSY</t>
  </si>
  <si>
    <t>30/09: OJO  es un código antiguo</t>
  </si>
  <si>
    <t>0973520000000AI00_A0
0973525170000DM00_A0
0973525170000LM00_A0</t>
  </si>
  <si>
    <t>0973525190600.00</t>
  </si>
  <si>
    <t>RTIO COM ASSY</t>
  </si>
  <si>
    <t>0973525170000DM00_A0</t>
  </si>
  <si>
    <t>15/11/2024 subido a ICM LM y DE</t>
  </si>
  <si>
    <t>0972825201800.00</t>
  </si>
  <si>
    <t>AVICOM</t>
  </si>
  <si>
    <t>0973525170000LM00_A0</t>
  </si>
  <si>
    <t xml:space="preserve">OP en montaje sin faltantes //  La unidad que falta por servir del 1229594740000 CBL EQUIPADO INTERFACE 2X CNC SUB-D 25P- se ha servido en otra OP. </t>
  </si>
  <si>
    <t>0973525203200.00</t>
  </si>
  <si>
    <t>NUC TRAY ASSY</t>
  </si>
  <si>
    <t>0973520000000AI00_A1
0973525203200LM00_A0
0973525203200DM00_A0</t>
  </si>
  <si>
    <t>TBD</t>
  </si>
  <si>
    <t xml:space="preserve">* Falta NUC Plate Support (Consultamos a Ingenieria como se va aprovisionar, no hay OrdFab)
</t>
  </si>
  <si>
    <t>0972825203400.00</t>
  </si>
  <si>
    <t>MINIPC ASSY</t>
  </si>
  <si>
    <t>0972825271100.00</t>
  </si>
  <si>
    <t>AFTOUT EMO</t>
  </si>
  <si>
    <t>0973520000000AI00_A1
0972825271100DM00_A0
0972825271100LM00_A0</t>
  </si>
  <si>
    <r>
      <t xml:space="preserve">20/11: Pendiente que Ingenieria facilite las asas a producción. 
17/10: </t>
    </r>
    <r>
      <rPr>
        <sz val="9"/>
        <color rgb="FFFF0000"/>
        <rFont val="Calibri"/>
        <family val="2"/>
        <scheme val="minor"/>
      </rPr>
      <t xml:space="preserve">Se pasa a Parada Diseño, en el plano aparecen las asas pero no vienen con el panel. Tampoco aparecen en la LM. 
</t>
    </r>
    <r>
      <rPr>
        <sz val="9"/>
        <color rgb="FF000000"/>
        <rFont val="Calibri"/>
        <family val="2"/>
        <scheme val="minor"/>
      </rPr>
      <t>OP en montaje sin faltantes ( 0971788271500 - AFTOUT EMO PLATE El panel nos lo da ingeniería (Se desmonta del simulador)</t>
    </r>
  </si>
  <si>
    <t>0972825390000.00</t>
  </si>
  <si>
    <t>Montaje aire respirable</t>
  </si>
  <si>
    <t>0972828220000</t>
  </si>
  <si>
    <t>SMOKE DETEC AND TEMP SENSOR ASSY</t>
  </si>
  <si>
    <t>0973520000000AI00_A1
0972828220000DE00_A0
0972828220000LM00_A0</t>
  </si>
  <si>
    <t xml:space="preserve">* Falta 0972881220000 SMOKE DET,TEMP SENSOR SUPPORT PLATE (PO 4200570491/00010 Fecha entrega 15.11.2024)
</t>
  </si>
  <si>
    <t>0973524020000</t>
  </si>
  <si>
    <t>0973524020000DI00_A1
 0973524020000LM00_A0</t>
  </si>
  <si>
    <t>27/08: LM no disponible</t>
  </si>
  <si>
    <t>0973524000100LM00_A0</t>
  </si>
  <si>
    <t>OP de instalación (CABLE SET VIDEO DISPLAY UNITS, CABLE SET PWR DISPLAY UNITS, CABLE SET ETH DISPLAY UNITS)</t>
  </si>
  <si>
    <t>0973525190000EQ00_A0
0973525190000DM00_A0
0973524190000LM00_A0</t>
  </si>
  <si>
    <t>Planos de cables</t>
  </si>
  <si>
    <t>0973524190300</t>
  </si>
  <si>
    <t>0973524190300DI00_A0 0973524190300LM00_A0</t>
  </si>
  <si>
    <t>OP instalación mazos W022, 23, 24, 25, 26, 30</t>
  </si>
  <si>
    <t>0973525200000EQ00_A0
0973525200000DM00_A0
0973524200000LM00_A0</t>
  </si>
  <si>
    <t>0973524201000DI00_A0
0973524201000LM00_A0</t>
  </si>
  <si>
    <t>0973524210000</t>
  </si>
  <si>
    <t>CABLE SET EEQ#3</t>
  </si>
  <si>
    <t>mmvicente</t>
  </si>
  <si>
    <t xml:space="preserve">   CABLE SET DACS EEQ#3</t>
  </si>
  <si>
    <t>Montaje de equipos FLIGHT COMPARTMENT</t>
  </si>
  <si>
    <t>fchamarro</t>
  </si>
  <si>
    <t>Montaje de equipos en EE#1</t>
  </si>
  <si>
    <t>0973520000000AI00_A1 0973525190000DM00_A0
0973525190000LM00_A0</t>
  </si>
  <si>
    <t xml:space="preserve">09/12: Material solicitado a Cabanillas. Cuando llegue sacaremos la OP a laboratorio. Esta OP tiene los siguientes faltantes:                                                                                            * 1234090019000 - FIJACION CABLE VELCRO/SOPORTE 400MM ( 4200587320/00010
Fecha entrega 11.12.2024)                                                                                                                    * 1501215010001 - TOR ALO CRUC M5X10 INOX DIN7985/ISO7045 (SolPed   1800115922/00010).
                                                                             </t>
  </si>
  <si>
    <t>Montaje de equipos en EE#2</t>
  </si>
  <si>
    <t>0973520000000AI00_A1 
0973525200000DM00_A0
0973525200000LM00_A0</t>
  </si>
  <si>
    <t>Montaje de equipos en EE#3</t>
  </si>
  <si>
    <t>0973520000000AI00_A1 
0973525210000DM00_A0
0973525210000LM00_A0</t>
  </si>
  <si>
    <t>09/12: Material solicitado a Cabanillas con faltantes*</t>
  </si>
  <si>
    <t>Montaje de equipos en EE#4</t>
  </si>
  <si>
    <t>0973520000000AI00_A1 0973525220000DM00_A0
0973525220000LM00_A0</t>
  </si>
  <si>
    <t>0973525220400.00</t>
  </si>
  <si>
    <t>Servo Aplifiers Unit #1</t>
  </si>
  <si>
    <t>aniebla</t>
  </si>
  <si>
    <t>0973525240000DM00_A0
0973525240000LM00_A0</t>
  </si>
  <si>
    <t>Montaje y cableado Display</t>
  </si>
  <si>
    <t>hcano</t>
  </si>
  <si>
    <t>Montaje de equipos en BASEFRAME</t>
  </si>
  <si>
    <t>0973520000000AI00_A1 0973525300000DM00_A0
0973525300000LM00_A0</t>
  </si>
  <si>
    <t>Montaje de TOMAS DE ENCHUFES en BASEFRAME</t>
  </si>
  <si>
    <t>0973520000000AI00_A0
0972825300500DM00_A0
0972825300500LM00_A0</t>
  </si>
  <si>
    <t>Montaje DRAWBRIDGE</t>
  </si>
  <si>
    <t>Montaje MOTION</t>
  </si>
  <si>
    <t>Cableado Motion</t>
  </si>
  <si>
    <t>Montaje cableado y equipos antiincendio</t>
  </si>
  <si>
    <t>jjzapatera</t>
  </si>
  <si>
    <t>22/11: Diseño cerrado, cargado en ICM</t>
  </si>
  <si>
    <t>0973545290000</t>
  </si>
  <si>
    <t>27/08: Código no creado</t>
  </si>
  <si>
    <t xml:space="preserve">MONTAJE MEC SIMULADOR </t>
  </si>
  <si>
    <t>27/08: Falta código para crear la OP</t>
  </si>
  <si>
    <t>ETIQUETADO y Anotación de S/N</t>
  </si>
  <si>
    <t>0973520000000AI00_A0</t>
  </si>
  <si>
    <t>Op de etiquetado y de anotación de S/N del simulador</t>
  </si>
  <si>
    <t>0973545042100</t>
  </si>
  <si>
    <t>W421</t>
  </si>
  <si>
    <t xml:space="preserve">OP en montaje sin faltantes.
</t>
  </si>
  <si>
    <t>0973525060900.00</t>
  </si>
  <si>
    <t>AUDIO CONNECTION THIRD OCCUPANT</t>
  </si>
  <si>
    <t>0973525060500AI00_00
0973525060500LM00_A0
0973525060500EQ00_A1</t>
  </si>
  <si>
    <t xml:space="preserve">
OP en montaje sin faltantes                                                                                  Ingeniería nos ha entregado el panel</t>
  </si>
  <si>
    <t>0973525113000.00</t>
  </si>
  <si>
    <t>AUDIO CONNECTION PANEL FO</t>
  </si>
  <si>
    <t>0973525113000AI00_A0
0973525113000LM00_A0
0973525113000EQ00_A0</t>
  </si>
  <si>
    <r>
      <rPr>
        <b/>
        <sz val="9"/>
        <color rgb="FFFF0000"/>
        <rFont val="Calibri"/>
        <family val="2"/>
        <scheme val="minor"/>
      </rPr>
      <t xml:space="preserve">
</t>
    </r>
    <r>
      <rPr>
        <sz val="9"/>
        <color rgb="FF70AD47"/>
        <rFont val="Calibri"/>
        <family val="2"/>
        <scheme val="minor"/>
      </rPr>
      <t xml:space="preserve">OP sin faltantes
</t>
    </r>
    <r>
      <rPr>
        <sz val="9"/>
        <color rgb="FF000000"/>
        <rFont val="Calibri"/>
        <family val="2"/>
        <scheme val="minor"/>
      </rPr>
      <t>Ingeniería nos ha entregado el panel</t>
    </r>
  </si>
  <si>
    <t>0973525113100.00</t>
  </si>
  <si>
    <t>AUDIO CONNECTION PANEL CAPT</t>
  </si>
  <si>
    <t/>
  </si>
  <si>
    <t>0973525113100AI00_A0
0973525113100LM00_A0
0973525113100EQ00_A0</t>
  </si>
  <si>
    <t>Instrumental: Para tareas misceláneas para cargar horas, sin LM ni dec</t>
  </si>
  <si>
    <t>OP de costes</t>
  </si>
  <si>
    <t>0973525139000.00</t>
  </si>
  <si>
    <t>IND LIGHTED ICING</t>
  </si>
  <si>
    <t>0973525139000LM00_A0 0973525139000EQ00_A1</t>
  </si>
  <si>
    <t xml:space="preserve">30/10: Parada Diseño: Longitud cables, posicion LED, caperuza. </t>
  </si>
  <si>
    <t>0973525201600</t>
  </si>
  <si>
    <t>PDAV#1</t>
  </si>
  <si>
    <t>0973520000000AI00_A1 0973525201600EQ00_A2 0973525201600LM00_A0 0973525201600DE00_A0</t>
  </si>
  <si>
    <t xml:space="preserve">OP en montaje sin faltantes                                                                                                                     </t>
  </si>
  <si>
    <t>0973525310100.00</t>
  </si>
  <si>
    <t>Drawbridge CTRL Unit (DBCU)</t>
  </si>
  <si>
    <t>0973525310100EQ00_A0 0973525310100DE00_A0 0973525310100LM00_A0</t>
  </si>
  <si>
    <t xml:space="preserve">                                                                                                                                                                                 * Falta 0971788310100_ DBCU CONNECTION PLATE (Se va a fabricar mediante PPI, se envía 1702002510000 - CAJA COMPACT AE IP66 760X600X210MM GRIS para mecanizar en Torrejón).      </t>
  </si>
  <si>
    <t>0973545004200</t>
  </si>
  <si>
    <t>W042</t>
  </si>
  <si>
    <t>OP en montaje sin faltantes. Calidad NOK marcaje erroneo cnector P2</t>
  </si>
  <si>
    <t>0973545210301</t>
  </si>
  <si>
    <t>A0203W51</t>
  </si>
  <si>
    <t>0973545210300DE00_A0
0973545210301LM00_A0</t>
  </si>
  <si>
    <t>Consultado a Ing. Producción si deben fantasmarse o no</t>
  </si>
  <si>
    <t>0973545210302</t>
  </si>
  <si>
    <t>A0203W52</t>
  </si>
  <si>
    <t>0973545210300DE00_A0
0973545210302LM00_A0</t>
  </si>
  <si>
    <t>0973545210303</t>
  </si>
  <si>
    <t>A0203W53</t>
  </si>
  <si>
    <t>0973545210300DE00_A0
0973545210303LM00_A0</t>
  </si>
  <si>
    <t>0973545210304</t>
  </si>
  <si>
    <t>A0203W54</t>
  </si>
  <si>
    <t>0973545210300DE00_A0
0973545210304LM00_A0</t>
  </si>
  <si>
    <t>0973545210305</t>
  </si>
  <si>
    <t>A0203W55</t>
  </si>
  <si>
    <t>0973545210300DE00_A0
0973545210305LM00_A0</t>
  </si>
  <si>
    <t>0973545210306</t>
  </si>
  <si>
    <t>A0203W56</t>
  </si>
  <si>
    <t>0973545210300DE00_A0
0973545210306LM00_A0</t>
  </si>
  <si>
    <t>0973545210307</t>
  </si>
  <si>
    <t>A0203W57</t>
  </si>
  <si>
    <t>0973545210300DE00_A0
0973545210307LM00_A0</t>
  </si>
  <si>
    <t>0973545210308</t>
  </si>
  <si>
    <t>A0203W58</t>
  </si>
  <si>
    <t>0973545210300DE00_A0
0973545210308LM00_A0</t>
  </si>
  <si>
    <t>0973545210401</t>
  </si>
  <si>
    <t>A0203W59</t>
  </si>
  <si>
    <t>0973545210400DE00_A0
0973545210401LM00_A0</t>
  </si>
  <si>
    <t>0973545210501</t>
  </si>
  <si>
    <t>A0203W60</t>
  </si>
  <si>
    <t>0973545210500DE00_A0
0973545210501LM00_A0</t>
  </si>
  <si>
    <t>0973545210601</t>
  </si>
  <si>
    <t>A0203W61</t>
  </si>
  <si>
    <t>0973545210600DE00_A0
0973545210601LM00_A0</t>
  </si>
  <si>
    <t>0973545210701</t>
  </si>
  <si>
    <t>A0203W62</t>
  </si>
  <si>
    <t>0973545210700DE00_A0
0973545210701LM00_A0</t>
  </si>
  <si>
    <t>0973545210801</t>
  </si>
  <si>
    <t>A0203W63</t>
  </si>
  <si>
    <t>0973545210800DE00_A0
0973545210801LM00_A0</t>
  </si>
  <si>
    <t>0973545210901</t>
  </si>
  <si>
    <t>A0203W64</t>
  </si>
  <si>
    <t>0973545210900DE00_A0
0973545210901LM00_A0</t>
  </si>
  <si>
    <t>0973545210902</t>
  </si>
  <si>
    <t>A0203W65</t>
  </si>
  <si>
    <t>0973545210900DE00_A0
0973545210902LM00_A0</t>
  </si>
  <si>
    <t>0973545210903</t>
  </si>
  <si>
    <t>A0203W66</t>
  </si>
  <si>
    <t>0973545210900DE00_A0
0973545210903LM00_A0</t>
  </si>
  <si>
    <t>0973545030101</t>
  </si>
  <si>
    <t>W301</t>
  </si>
  <si>
    <t>0973545030100DE00_A0
0973545030101LM00_A0</t>
  </si>
  <si>
    <t>0973545030201</t>
  </si>
  <si>
    <t>W302</t>
  </si>
  <si>
    <t>0973545030200DE00_A0
0973545030201LM00_A0</t>
  </si>
  <si>
    <t>0973545030301</t>
  </si>
  <si>
    <t>W303</t>
  </si>
  <si>
    <t>0973545030300DE00_A0
0973545030301LM00_A0</t>
  </si>
  <si>
    <t>0973545030401</t>
  </si>
  <si>
    <t>W304</t>
  </si>
  <si>
    <t>0973545030400DE00_A0
0973545030401LM00_A0</t>
  </si>
  <si>
    <t>0973545030402</t>
  </si>
  <si>
    <t>W305</t>
  </si>
  <si>
    <t>0973545030400DE00_A0
0973545030402LM00_A0</t>
  </si>
  <si>
    <t>0973545030403</t>
  </si>
  <si>
    <t>W306</t>
  </si>
  <si>
    <t>0973545030400DE00_A0
0973545030403LM00_A0</t>
  </si>
  <si>
    <t>0973545030404</t>
  </si>
  <si>
    <t>W307</t>
  </si>
  <si>
    <t>0973545030400DE00_A0
0973545030404LM00_A0</t>
  </si>
  <si>
    <t>0973545030405</t>
  </si>
  <si>
    <t>W308</t>
  </si>
  <si>
    <t>0973545030400DE00_A0
0973545030405LM00_A0</t>
  </si>
  <si>
    <t>0973545030406</t>
  </si>
  <si>
    <t>W309</t>
  </si>
  <si>
    <t>0973545030400DE00_A0
0973545030406LM00_A0</t>
  </si>
  <si>
    <t>0973545030407</t>
  </si>
  <si>
    <t>W310</t>
  </si>
  <si>
    <t>0973545030400DE00_A0
0973545030407LM00_A0</t>
  </si>
  <si>
    <t>0973545031101</t>
  </si>
  <si>
    <t>W311</t>
  </si>
  <si>
    <t>0973545031100DE00_A0
0973545031101LM00_A0</t>
  </si>
  <si>
    <t>0973545031102</t>
  </si>
  <si>
    <t>W312</t>
  </si>
  <si>
    <t>0973545031100DE00_A0
0973545031102LM00_A0</t>
  </si>
  <si>
    <t>0973545040000</t>
  </si>
  <si>
    <t>COMMS</t>
  </si>
  <si>
    <t>0973545040000LM00_A0 0973545040000EQ00_A0</t>
  </si>
  <si>
    <t>0973545040100</t>
  </si>
  <si>
    <t>W401</t>
  </si>
  <si>
    <t>0973545040100LM00_A0 0973545040100EQ00_A0</t>
  </si>
  <si>
    <t>0973545040200</t>
  </si>
  <si>
    <t>W402</t>
  </si>
  <si>
    <t>0973545040200LM00_A0 0973545040200EQ00_A0</t>
  </si>
  <si>
    <t>9-12 Los conectores de LM no son los adecuados</t>
  </si>
  <si>
    <t>0973545047100</t>
  </si>
  <si>
    <t>FIRE IN</t>
  </si>
  <si>
    <t>0973545047100EQ00_A0 0973545047100LM00_A0</t>
  </si>
  <si>
    <t>* Falta 1222291900200_CBL 2X1,50MM TRENZADO 500V ROJO/NEGRO (SolPed 1800114769/00040)</t>
  </si>
  <si>
    <t>0973545047200</t>
  </si>
  <si>
    <t>W472</t>
  </si>
  <si>
    <t>0973545047200EQ00_A1 0973545047200LM00_A0</t>
  </si>
  <si>
    <t xml:space="preserve">14/11: OP en montaje con los siguientes faltantes:                                                                                                                                    * 1209994240424 - ACC BACKSHELL 21 ALU MIL-DTL-38999III IV (PO 4200582738/00090 Fecha entrega 10.11.2024).
</t>
  </si>
  <si>
    <t>0973545047300</t>
  </si>
  <si>
    <t>W473</t>
  </si>
  <si>
    <t>0973545047300LM00_A0 0973545047300EQ00_A0</t>
  </si>
  <si>
    <t>0973524330000</t>
  </si>
  <si>
    <t xml:space="preserve">CABLE SET PROCESSOR RACK </t>
  </si>
  <si>
    <t xml:space="preserve">OP instalación cableados de SET (CABLE SET RJ45 PROCESSOR RACK #1, CABLE SET POWER PROCESSOR RACK #1, CABLE SET USB PROCESSOR RACK #1, CABLE SET DACS PROCESSOR RACK #1)                                                                   </t>
  </si>
  <si>
    <t>0973545047500</t>
  </si>
  <si>
    <t>AIR FLOW/DB</t>
  </si>
  <si>
    <t>0973545047500LM00_A0 0973545047500EQ00_A0</t>
  </si>
  <si>
    <t>* Falta 1219000490700 - CAJA PORTACONTACTOS 4H 1,57MM RECEP (SolPed 1800115231/00010)</t>
  </si>
  <si>
    <t>0973545047600</t>
  </si>
  <si>
    <t xml:space="preserve">W476
</t>
  </si>
  <si>
    <t>0973545047600LM00_A0 0973545047600EQ00_A0</t>
  </si>
  <si>
    <t>0973545047800</t>
  </si>
  <si>
    <t>FIRE OUT</t>
  </si>
  <si>
    <t>0973545048000</t>
  </si>
  <si>
    <t>CLS STOP</t>
  </si>
  <si>
    <t>0973545048000LM00_A0 0973545048000EQ00_A0</t>
  </si>
  <si>
    <t>* Falta 1204894000006 - ACC P/CNC BACKSHELL SR R/A NIC SIZE 19 (SolPed 1800115630/00010)</t>
  </si>
  <si>
    <t>0973545048200</t>
  </si>
  <si>
    <t>W482</t>
  </si>
  <si>
    <t>0973545048200LM00_A0 0973545048200EQ00_A0</t>
  </si>
  <si>
    <t>0973545048700</t>
  </si>
  <si>
    <t>W487</t>
  </si>
  <si>
    <t>0973545048700LM00_A0 0973545048700EQ00_A0</t>
  </si>
  <si>
    <t>0973545300101</t>
  </si>
  <si>
    <t>PWR AND LIGHTING BOX</t>
  </si>
  <si>
    <t>0973545300102</t>
  </si>
  <si>
    <t>IOS CONSOLE#1 BOX</t>
  </si>
  <si>
    <t>0973545310100</t>
  </si>
  <si>
    <t>DB ACTUATOR</t>
  </si>
  <si>
    <t>0973545310100EQ00_A1 0973545310100LM00_A0</t>
  </si>
  <si>
    <t xml:space="preserve">14/11: Se solicita los materiales a Cabanillas. Esta OP tiene los siguientes faltantes:                                                                                                                                                                                                 * 1209994240424 - ACC BACKSHELL 21 ALU MIL-DTL-38999III IV (PO 4200582738/00090
Fecha entrega 10.11.2024, se solicita por RS 206-7532).
                                                                                                                  </t>
  </si>
  <si>
    <t>0973545310200</t>
  </si>
  <si>
    <t>A05W02</t>
  </si>
  <si>
    <t>0973545310200EQ00_A0 0973545310200LM00_A0</t>
  </si>
  <si>
    <t xml:space="preserve">20-11 falta aún el backshell 14/11: OP en montaje con los siguientes faltantes:                                                                                                                              * 1209994240424 - ACC BACKSHELL 21 ALU MIL-DTL-38999III IV (PO 4200582738/00090
Fecha entrega 10.11.2024).
</t>
  </si>
  <si>
    <t>0973524430000DI00_A0
0973524430000LM00_A0</t>
  </si>
  <si>
    <t>0973545082001</t>
  </si>
  <si>
    <t>PWR DU CAPT OUTBD</t>
  </si>
  <si>
    <t>CABLE SET PWR DISPLAY UNITS</t>
  </si>
  <si>
    <t>0973524070300DE00_A0 0973545082001LM00_A0 0973524070000DI00_A0</t>
  </si>
  <si>
    <t xml:space="preserve">27/11/24 El clam no sirve para la manguera de 3x1,5mm además no tiene distancia suficiente para conectar los pines                                                                'OP en montaje sin faltantes. </t>
  </si>
  <si>
    <t>0973545082002</t>
  </si>
  <si>
    <t>PWR DU CAPT INBD</t>
  </si>
  <si>
    <t>0973524070300DE00_A0 0973545082002LM00_A0 0973524070000DI00_A0</t>
  </si>
  <si>
    <t>3-12 Hecho un extremo el clamp no sirve para el otro extremo                                                                                 'OP en montaje sin faltantes</t>
  </si>
  <si>
    <t>0973545082003</t>
  </si>
  <si>
    <t>PWR DU UPPER CENTER</t>
  </si>
  <si>
    <t>0973524070300DE00_A0 0973545082003LM00_A0 0973524070000DI00_A0</t>
  </si>
  <si>
    <t>0973545082004</t>
  </si>
  <si>
    <t>W824</t>
  </si>
  <si>
    <t>0973524070300DE00_A0 0973545082004LM00_A0 0973524070000DI00_A0</t>
  </si>
  <si>
    <t>0973545082005</t>
  </si>
  <si>
    <t>W825</t>
  </si>
  <si>
    <t>0973524070300DE00_A0 0973545082005LM00_A0 0973524070000DI00_A0</t>
  </si>
  <si>
    <t xml:space="preserve">11-12 El clamp no sirve para la manguera                               </t>
  </si>
  <si>
    <t>0973545082006</t>
  </si>
  <si>
    <t>W826</t>
  </si>
  <si>
    <t>0973524070300DE00_A0 0973545082006LM00_A0 0973524070000DI00_A0</t>
  </si>
  <si>
    <t>11-12 El clamp no sirve para la manguera                             OP en montaje sin faltantes.</t>
  </si>
  <si>
    <t>0973545082007</t>
  </si>
  <si>
    <t>PWR MCDU1</t>
  </si>
  <si>
    <t>0973524070300DE00_A0 0973545082007LM00_A0 0973524070000DI00_A0</t>
  </si>
  <si>
    <t>Material solicitado a Cabanillas. Cuando llegue sacaremos la OP a laboratorio. (El conector se aprovisiona por CD)</t>
  </si>
  <si>
    <t>0973545082008</t>
  </si>
  <si>
    <t>W828</t>
  </si>
  <si>
    <t>0973524070300DE00_A0 0973545082008LM00_A0 0973524070000DI00_A0</t>
  </si>
  <si>
    <t>11-12 el clamp no sirve para la manguera                             OP en montaje sin faltantes.</t>
  </si>
  <si>
    <t>0972845042300</t>
  </si>
  <si>
    <t>TRANSPORT DELAY</t>
  </si>
  <si>
    <t>0972845042400</t>
  </si>
  <si>
    <t>DISPLAY PHD</t>
  </si>
  <si>
    <t>0972845042400EQ00_A0 0972845042400LM00_A1</t>
  </si>
  <si>
    <t>OP en montaje sin faltantes                                                                                                                                              16/10: Se sube la LM_A1 con el codigo de H5 cambiado a 1065001380100</t>
  </si>
  <si>
    <t>0972845042500</t>
  </si>
  <si>
    <t>DU PHD</t>
  </si>
  <si>
    <t>0972845042500LM00_A1 0972845042500EQ00_A0</t>
  </si>
  <si>
    <t>OP en montaje sin faltantes.                                                                                                                                                16/10: Se sube la LM_A1 con el codigo de H5 cambiado a 1065001380100</t>
  </si>
  <si>
    <t>0973521000000</t>
  </si>
  <si>
    <t>TEST BENCH A320</t>
  </si>
  <si>
    <t>0973525310200.00</t>
  </si>
  <si>
    <t>SMOKE CONTROL BOX</t>
  </si>
  <si>
    <t>0973545036000</t>
  </si>
  <si>
    <t>W360</t>
  </si>
  <si>
    <t>0973545036000EQ00_A0 0973545036000LM00_A0</t>
  </si>
  <si>
    <t>0973545036100</t>
  </si>
  <si>
    <t>W361</t>
  </si>
  <si>
    <t>0973545036100EQ00_A0 0973545036100LM00_A0</t>
  </si>
  <si>
    <t>0973545036200</t>
  </si>
  <si>
    <t>W362</t>
  </si>
  <si>
    <t>0973545036200EQ00_A0 0973545036200LM00_A0</t>
  </si>
  <si>
    <t>0973545050100</t>
  </si>
  <si>
    <t>W501 - COOLING AVN OUTDOOR</t>
  </si>
  <si>
    <t>0973545050100DE00_A0 0973545050100LM00_A0</t>
  </si>
  <si>
    <t>0973545050200</t>
  </si>
  <si>
    <t>W502</t>
  </si>
  <si>
    <t>SIM LIGHTING</t>
  </si>
  <si>
    <t>0973545050200DE00_A0 0973545050200LM00_A0</t>
  </si>
  <si>
    <t>0973545050300</t>
  </si>
  <si>
    <t>W503</t>
  </si>
  <si>
    <t>0973545050300DE00_A0 0973545050300LM00_A0</t>
  </si>
  <si>
    <t>Se abre incidencia en CONVERGE y nos vuelven a enviar 1220314254505 CBL FLEX 5X2,5MM2 RZ1-K 0,6/1KV POLIOLE  porque la primera vez nos llegó 23.7 en vez de 25 metros como cargaba la OP.   Se saca de Kardex el 1214201138020 CNC CIR 21-11 11H STRAIGH PLUG CRIMP RHS                                                                                                                                         'OP en montaje sin faltantes</t>
  </si>
  <si>
    <t>0973545050400</t>
  </si>
  <si>
    <t>DU/MCDU</t>
  </si>
  <si>
    <t>0973545050400DE00_A0 0973545050400LM00_A0</t>
  </si>
  <si>
    <t>0973545050500</t>
  </si>
  <si>
    <t>W505</t>
  </si>
  <si>
    <t>0973545050500DE00_A0 0973545050500LM00_A0</t>
  </si>
  <si>
    <t>0973545050600</t>
  </si>
  <si>
    <t>W506 - PROYECTOR POWER BOX</t>
  </si>
  <si>
    <t>0973545050600DE00_A0 0973545050600LM00_A0</t>
  </si>
  <si>
    <t>0973545050700</t>
  </si>
  <si>
    <t>0973545050700DE00_A0 0973545050700LM00_A0</t>
  </si>
  <si>
    <t xml:space="preserve">5-12 parada porque el clamp es pequeño y la manguera no entra                                                       'OP en montaje sin faltantes                                                                                                                     </t>
  </si>
  <si>
    <t>0973524330200</t>
  </si>
  <si>
    <t>CABLE SET POWER PROCESSOR RACK #1</t>
  </si>
  <si>
    <t>0973524330200DE00_A0
0973524330200LM00_A0</t>
  </si>
  <si>
    <t>0973545051100</t>
  </si>
  <si>
    <t>RTIO</t>
  </si>
  <si>
    <t>0973545051100DE00_A0 0973545051100LM00_A0</t>
  </si>
  <si>
    <t>0973545051200</t>
  </si>
  <si>
    <t>W512</t>
  </si>
  <si>
    <t>0973545051200DE00_A0 0973545051200LM00_A0</t>
  </si>
  <si>
    <t>0973545051300</t>
  </si>
  <si>
    <t>W513</t>
  </si>
  <si>
    <t>COCKPIT LAN/AVICOM</t>
  </si>
  <si>
    <t>0973545051300DE00_A0 0973545051300LM00_A0</t>
  </si>
  <si>
    <t>0973545051400</t>
  </si>
  <si>
    <t>W514</t>
  </si>
  <si>
    <t>IOS</t>
  </si>
  <si>
    <t>0973545051400DE00_A0 0973545051400LM00_A0</t>
  </si>
  <si>
    <t>0973545051500</t>
  </si>
  <si>
    <t>AUDIO EQUIP</t>
  </si>
  <si>
    <t>0973545051500DE00_A0 0973545051500LM00_A0</t>
  </si>
  <si>
    <t>0973545051600</t>
  </si>
  <si>
    <t>AUDIO SPEAKER</t>
  </si>
  <si>
    <t>0973545051600DE00_A0 0973545051600LM00_A0</t>
  </si>
  <si>
    <t>0973545051700</t>
  </si>
  <si>
    <t>BREATHING AIR</t>
  </si>
  <si>
    <t>0973545051700DE00_A0 0973545051700LM00_A0</t>
  </si>
  <si>
    <t>0973564310100</t>
  </si>
  <si>
    <t>DBCU CAJA CONEXIONES</t>
  </si>
  <si>
    <t>0973564310100LM00_A0 0973564310100PM00_A0</t>
  </si>
  <si>
    <t>OP para realizar desde PPI (La caja se ha enviado a Torrejón a la atención de Luis Miguel Meilán García).</t>
  </si>
  <si>
    <t>0973530110000</t>
  </si>
  <si>
    <t>PANEL CARD 1</t>
  </si>
  <si>
    <t>0973530110000EQ00_A1
0973530110000LM00_A0</t>
  </si>
  <si>
    <t>0973530111000</t>
  </si>
  <si>
    <t>PANEL CARD 2</t>
  </si>
  <si>
    <t>0973530111000EQ00_A1
0973530111000LM00_A0</t>
  </si>
  <si>
    <t>0973530112000</t>
  </si>
  <si>
    <t>PANEL CARD 3</t>
  </si>
  <si>
    <t>0973530112000EQ00_A1
0973530112000LM00_A0</t>
  </si>
  <si>
    <t>0973530114000</t>
  </si>
  <si>
    <t>PANEL CARD 4</t>
  </si>
  <si>
    <t>0973530113000EQ00_A1
0973530113000LM00_A0</t>
  </si>
  <si>
    <t>0973545084400</t>
  </si>
  <si>
    <t>0973545084400EQ00_A0 0973545084400LM00_A0</t>
  </si>
  <si>
    <t xml:space="preserve">* Falta 1209994190024 - ABRAZADERA CNC CIR #19 RECT AL/EL-NI (PO 4200582738/00080 Fecha entrega 10.11.2024)
</t>
  </si>
  <si>
    <t>0972845037200</t>
  </si>
  <si>
    <t>TEMPERATURE</t>
  </si>
  <si>
    <t>0972845037300</t>
  </si>
  <si>
    <t>0972845037400</t>
  </si>
  <si>
    <t>0972845037500</t>
  </si>
  <si>
    <t>0972845037900</t>
  </si>
  <si>
    <t>EMERG</t>
  </si>
  <si>
    <t>0972845038000</t>
  </si>
  <si>
    <t>0973545051800</t>
  </si>
  <si>
    <t>W518</t>
  </si>
  <si>
    <t>0973545051800DE00_A0 0973545051800LM00_A0</t>
  </si>
  <si>
    <t xml:space="preserve">OP en montaje con los siguientes faltantes:                                                                                                                                                                                                                                                                                                            * 1231025129901 -  TUBO TERMO 1/2 2:1 L=1.219M PVDF CLARO R (SolPed 1800114171/00030)                                                                                                                            </t>
  </si>
  <si>
    <t>0973545051900</t>
  </si>
  <si>
    <t>W519</t>
  </si>
  <si>
    <t>0973545051900DE00_A0 0973545051900LM00_A0</t>
  </si>
  <si>
    <t xml:space="preserve">27/11 El clamp selecionado no sirve para la manguera 5x2,5mm, además no deja espacio para la conexión, los pines son AWG16 y el cable de 2,5mm equivale a AWG14, El conector tiene 4 pines y la manguera es de 5 hilos .                                                                                                  'OP en montaje sin faltantes. </t>
  </si>
  <si>
    <t>0973545052200</t>
  </si>
  <si>
    <t>W522</t>
  </si>
  <si>
    <t>0973545052200DE00_A0 0973545052200LM00_A0</t>
  </si>
  <si>
    <t xml:space="preserve">15/11: OP en montaje con los siguientes faltantes:                                                                                                                                                                                                                                                                                                       * 1231024609900 - TUBO TERMO 1/4 2:1 L=1.219M PVDF CLARO R (SolPed 1800114171/00020).                                                                                                                            </t>
  </si>
  <si>
    <t>0973545052400</t>
  </si>
  <si>
    <t>W524</t>
  </si>
  <si>
    <t>0973545052400DE00_A0 0973545052400LM00_A0</t>
  </si>
  <si>
    <t>0973544212100</t>
  </si>
  <si>
    <t>0973545048100</t>
  </si>
  <si>
    <t xml:space="preserve">W481
</t>
  </si>
  <si>
    <t>0973545048100EQ00_A0 0973545048100LM00_A0</t>
  </si>
  <si>
    <t>0973545300103</t>
  </si>
  <si>
    <t>CONEXIÓN AURICULARES BF, DISPLAY</t>
  </si>
  <si>
    <t>0973545050800</t>
  </si>
  <si>
    <t>W508</t>
  </si>
  <si>
    <t>0973545050800DE00_A0 0973545050800LM00_A0</t>
  </si>
  <si>
    <r>
      <rPr>
        <sz val="9"/>
        <color rgb="FF70AD47"/>
        <rFont val="Calibri"/>
        <family val="2"/>
      </rPr>
      <t xml:space="preserve">10/12: Entregado a Producción el cable </t>
    </r>
    <r>
      <rPr>
        <sz val="9"/>
        <color rgb="FF000000"/>
        <rFont val="Calibri"/>
        <family val="2"/>
      </rPr>
      <t>// 3-12 los metros de cable servidos son 23,2 y deben ser 25  Cod:1220315404000 CBL RZ1-K 0,6/1KV CU 5X4MM2 BAJO HALOGEN                                                                                                                                       'OP en montaje sin faltantes</t>
    </r>
  </si>
  <si>
    <t>0973545052300</t>
  </si>
  <si>
    <t>W523</t>
  </si>
  <si>
    <t>0973545052300DE00_A0 0973545052300LM00_A0</t>
  </si>
  <si>
    <t>0973545052600</t>
  </si>
  <si>
    <t>W526</t>
  </si>
  <si>
    <t>0973545052600DE00_A0 0973545052600LM00_A0</t>
  </si>
  <si>
    <t xml:space="preserve">15/11: OP en montaje con los siguientes faltantes:                                                                                                                                                                                                                                                                                                          * 1231025129901 -  TUBO TERMO 1/2 2:1 L=1.219M PVDF CLARO R (SolPed 1800114171/00030)                                                                                                                            </t>
  </si>
  <si>
    <t>0973545052700</t>
  </si>
  <si>
    <t>W527</t>
  </si>
  <si>
    <t>0973545052700DE00_A0 0973545052700LM00_A0</t>
  </si>
  <si>
    <t xml:space="preserve">15/11: OP en montaje con los siguientes faltantes:                                                                                                                                                                                                                                                                                                           * 1231025129901 -  TUBO TERMO 1/2 2:1 L=1.219M PVDF CLARO R (SolPed 1800114171/00030)                                                                                                                            </t>
  </si>
  <si>
    <t>0973545052800</t>
  </si>
  <si>
    <t>W528</t>
  </si>
  <si>
    <t>0973545052800DE00_A0 0973545052800LM00_A0</t>
  </si>
  <si>
    <t xml:space="preserve">15/11: OP en montaje con los siguientes faltantes:                                                                                                                                                                                                                                                                                                                      * 1231024609900 - TUBO TERMO 1/4 2:1 L=1.219M PVDF CLARO R (SolPed 1800114171/00020 )                                                                                                                             </t>
  </si>
  <si>
    <t>0973545054100</t>
  </si>
  <si>
    <t>W541</t>
  </si>
  <si>
    <t>0973545054100DE00_A0 0973545054100LM00_A0</t>
  </si>
  <si>
    <r>
      <rPr>
        <sz val="9"/>
        <color rgb="FF70AD47"/>
        <rFont val="Calibri"/>
        <family val="2"/>
      </rPr>
      <t>10/12: Cable entregado a Producción</t>
    </r>
    <r>
      <rPr>
        <sz val="9"/>
        <color rgb="FF000000"/>
        <rFont val="Calibri"/>
        <family val="2"/>
      </rPr>
      <t xml:space="preserve"> // '3-12 Cargado 10 metros 1220115045000 CBL FLEX 1X50MM2 H07Z1-K 750V HFLS AZ RH, el que venía estaba cortado.                                                                                                                     '28/11: Material entregado a Producción                                                                                    21/11: Se ha servido 29,5 metros de cable, se solicita a Cabanillas otros 10 metros de cable</t>
    </r>
  </si>
  <si>
    <t>0973545054200</t>
  </si>
  <si>
    <t>W542</t>
  </si>
  <si>
    <t>0973545054200DE00_A0 0973545054200LM00_A0</t>
  </si>
  <si>
    <t>0973545054300</t>
  </si>
  <si>
    <t>W543</t>
  </si>
  <si>
    <t>0973545054300DE00_A0 0973545054300LM00_A0</t>
  </si>
  <si>
    <t xml:space="preserve">14/11: OP solicitada a Cabanillas con los siguientes faltantes:                                                                                                                                                                                                                                                                                                                  * 1231025193820 - TUBO TERMO 3/4" 2:1 FLUOPOLYMR CLEAR RHS (Solicitado a RS)                                                                                                                         </t>
  </si>
  <si>
    <t>0973545054400</t>
  </si>
  <si>
    <t>W544</t>
  </si>
  <si>
    <t>0973545054400DE00_A0 0973545054400LM00_A0</t>
  </si>
  <si>
    <t>OP en montaje sin faltantes (El tubo termo lo solicitamos a RS).</t>
  </si>
  <si>
    <t>0973524070100DE00_A0
0973524070100LM00_A0</t>
  </si>
  <si>
    <r>
      <rPr>
        <sz val="9"/>
        <color rgb="FF000000"/>
        <rFont val="Calibri"/>
        <family val="2"/>
        <scheme val="minor"/>
      </rPr>
      <t xml:space="preserve">Material solicitado a Cabanillas. Cuando llegue sacaremos la OP a laboratorio </t>
    </r>
    <r>
      <rPr>
        <b/>
        <sz val="9"/>
        <color rgb="FF000000"/>
        <rFont val="Calibri"/>
        <family val="2"/>
        <scheme val="minor"/>
      </rPr>
      <t>(También hay que intalar mazos)</t>
    </r>
  </si>
  <si>
    <t>0973524070200DE00_A1
0973524070200LM00_A0</t>
  </si>
  <si>
    <t xml:space="preserve">Falta 1229508280005_CBL EQ UTP RJ45-M/M 50FT NEGRO CAT6 LSZH (SolPed)
</t>
  </si>
  <si>
    <t>0973524070300DE00_A0
0973524070300LM00_A0</t>
  </si>
  <si>
    <t>OP instalación mazos.</t>
  </si>
  <si>
    <t>0973524330400</t>
  </si>
  <si>
    <t>CABLE SET DACS PROCESSOR RACK</t>
  </si>
  <si>
    <t>0973525330000EQ00_A1
0973524330400LM00_A0</t>
  </si>
  <si>
    <t>En esta OP se han fabricado los cables A08W125 cód 0973544330400 y A08W126 cód 0973544330500</t>
  </si>
  <si>
    <t>0973525073300.00</t>
  </si>
  <si>
    <t>TERR ON ND PANEL</t>
  </si>
  <si>
    <t>0973520000000AI00_A1
0973525073300EQ00_A0 0973525073300LM00_A0</t>
  </si>
  <si>
    <t xml:space="preserve">15/11: OP en montaje con los siguientes faltantes:                                                                                                                                                                                                                                                                                                               *  1390702000000 - SCREW/PLATES INST LIGHT CTR PEDEST Z210 (PO 4200582270/00010
Fecha entrega 27.11.2024)                                                                                                                         
                                                                                                                  </t>
  </si>
  <si>
    <t>0915437020000</t>
  </si>
  <si>
    <t>VDIM CARD 400HZ 5VAC EQUIPADA</t>
  </si>
  <si>
    <t>OP para realizar desde PPI (Para fabricar x3  0915437020000) // Se solicita el material que hay en Cabanillas, hay materiales que se han pedido por RS. (Enviar a la atención de Jorge  Varela  Tapia).</t>
  </si>
  <si>
    <t>0973544330310</t>
  </si>
  <si>
    <t>USB EXT IOS 1</t>
  </si>
  <si>
    <t>0973525330000EQ00_A1
0973524330300DE00_A0
0973524330310LM00_A0</t>
  </si>
  <si>
    <r>
      <rPr>
        <b/>
        <sz val="9"/>
        <color rgb="FF000000"/>
        <rFont val="Calibri"/>
        <family val="2"/>
      </rPr>
      <t xml:space="preserve">Código Fantasmado
</t>
    </r>
    <r>
      <rPr>
        <sz val="9"/>
        <color rgb="FF000000"/>
        <rFont val="Calibri"/>
        <family val="2"/>
      </rPr>
      <t>* Falta 3210103550300 - CBL EQUI USB 2.0(M/M) 480MBPS TIP A L=3M (PO 4200586593/00010 Fecha entrega 04.12.2024)</t>
    </r>
  </si>
  <si>
    <t>0973544330311</t>
  </si>
  <si>
    <t>USB EXT IOS 2</t>
  </si>
  <si>
    <t>0973525330000EQ00_A1
0973524330300DE00_A0
0973524330311LM00_A0</t>
  </si>
  <si>
    <t>0973544330312</t>
  </si>
  <si>
    <t>USB EXT DPS 1</t>
  </si>
  <si>
    <t>0973525330000EQ00_A1
0973524330300DE00_A0
0973524330312LM00_A0</t>
  </si>
  <si>
    <t>0973544330313</t>
  </si>
  <si>
    <t>USB EXT DPS 2</t>
  </si>
  <si>
    <t>0973525330000EQ00_A1
0973524330300DE00_A0
0973524330313LM00_A0</t>
  </si>
  <si>
    <t>0973544330175</t>
  </si>
  <si>
    <t>IG MASTER COMPUTER</t>
  </si>
  <si>
    <t>0973525330000EQ00_A1
0973524330100DE00_A1
0973544330175LM00_A0</t>
  </si>
  <si>
    <t>0973544330176</t>
  </si>
  <si>
    <t>CONEXIÓN UTP EXT #7</t>
  </si>
  <si>
    <t>0973525330000EQ00_A1
0973524330100DE00_A1
0973544330176LM00_A0</t>
  </si>
  <si>
    <t>0973544330180</t>
  </si>
  <si>
    <t>0973525330000EQ00_A1
0973524330100DE00_A1
0973544330181LM00_A0</t>
  </si>
  <si>
    <t>0973544330181</t>
  </si>
  <si>
    <t>CONEXIÓN UTP EXT #9</t>
  </si>
  <si>
    <t>0973525330000EQ00_A1
0973524330100DE00_A1
0973544330182LM00_A0</t>
  </si>
  <si>
    <t>0973524020100</t>
  </si>
  <si>
    <t>CABLE SET CAN 1A</t>
  </si>
  <si>
    <t>RTIO ASSY-UNIDAD</t>
  </si>
  <si>
    <t>0973524020000DI00_A0
0973524020100LM00_A0</t>
  </si>
  <si>
    <t>0973524020200</t>
  </si>
  <si>
    <t>CABLE SET CAN 1B</t>
  </si>
  <si>
    <t>RTIO ASSY-PD MIL</t>
  </si>
  <si>
    <t>0973524020000DI00_A0 0973524020200LM00_A0</t>
  </si>
  <si>
    <t>0973524020300</t>
  </si>
  <si>
    <t>CABLE SET CAN 1C</t>
  </si>
  <si>
    <t>RTIO ASSY-PD SUBD</t>
  </si>
  <si>
    <t>0973524020000DI00_A0 0973524020300LM00_A0</t>
  </si>
  <si>
    <t>0973524020400</t>
  </si>
  <si>
    <t>CABLE SET CAN 2A</t>
  </si>
  <si>
    <t>UNIDAD-UNIDAD</t>
  </si>
  <si>
    <t>0973524020000DI00_A0 0973524020400LM00_A0</t>
  </si>
  <si>
    <t>0973544020500</t>
  </si>
  <si>
    <t>CABLE SET CAN 2B</t>
  </si>
  <si>
    <t>SUBD-SUBD</t>
  </si>
  <si>
    <t>0973524020000DI00_A0 0973544020500LM00_A0</t>
  </si>
  <si>
    <t>OP instalación mazos (W920, W930, W940)</t>
  </si>
  <si>
    <t>0973544020600</t>
  </si>
  <si>
    <t>CABLE SET CAN T1</t>
  </si>
  <si>
    <t>TERMINADOR EN UNIDAD</t>
  </si>
  <si>
    <t>0973524020000DI00_A0 0973544020600LM00_A0</t>
  </si>
  <si>
    <t>OP de instalación (Para los mazos W983, W984, W985, W986, W987, W988)</t>
  </si>
  <si>
    <t>0973544020700</t>
  </si>
  <si>
    <t>CABLE SET CAN T2</t>
  </si>
  <si>
    <t>TERMINADOR EN SUBD</t>
  </si>
  <si>
    <t>0973524020000DI00_A0 0973544020700LM00_A0 0973524020000DI00_A1</t>
  </si>
  <si>
    <t>0973544020800</t>
  </si>
  <si>
    <t>CABLE SET CAN T3</t>
  </si>
  <si>
    <t>TERMINADOR EN CNC MIL</t>
  </si>
  <si>
    <t>0973524020000DI00_A0 0973544020800LM00_A0</t>
  </si>
  <si>
    <t>OP instalación mazos (W981, W982, W986)</t>
  </si>
  <si>
    <t>0973544300100</t>
  </si>
  <si>
    <t>PWR IOS CONSOLE#1 TFT1</t>
  </si>
  <si>
    <t>0973544300100EQ00_A0
0973544300100LM00_A0</t>
  </si>
  <si>
    <t>0973544300200</t>
  </si>
  <si>
    <t>PWR IOS CONSOLE#1 TFT2</t>
  </si>
  <si>
    <t>0973544300200EQ00_A0
0973544300200LM00_A0</t>
  </si>
  <si>
    <t>0973544300300</t>
  </si>
  <si>
    <t>USB IOS CONSOLE#1 EXT TFT1</t>
  </si>
  <si>
    <t>0973544300300EQ00_A0
0973544300300LM00_A0</t>
  </si>
  <si>
    <t>0973544300400</t>
  </si>
  <si>
    <t>USB IOS CONSOLE#1 EXT TFT2</t>
  </si>
  <si>
    <t>0973544300400EQ00_A0
0973544300400LM00_A0</t>
  </si>
  <si>
    <t>0972844304520</t>
  </si>
  <si>
    <t>PWR IOS CONSOLE#1 LAMP</t>
  </si>
  <si>
    <t>0973544300500EQ00_A0
0973544300500LM00_A0</t>
  </si>
  <si>
    <t>¿debe lanzarse con el 0973544300500 o con el código del E7?</t>
  </si>
  <si>
    <t>0973545020201</t>
  </si>
  <si>
    <t>W901</t>
  </si>
  <si>
    <t>0973545020201EQ00_A0 0973545020201LM00_A0</t>
  </si>
  <si>
    <t>0973545020202</t>
  </si>
  <si>
    <t>W902</t>
  </si>
  <si>
    <t>0973545020202EQ00_A1 0973545020202LM00_A0</t>
  </si>
  <si>
    <t>0973545020103</t>
  </si>
  <si>
    <t>W903</t>
  </si>
  <si>
    <t>0973545020103EQ00_A1 0973545020103LM00_A0</t>
  </si>
  <si>
    <t>0973545020104</t>
  </si>
  <si>
    <t>W904</t>
  </si>
  <si>
    <t>0973545020104EQ00_A1 0973545020104LM00_A0</t>
  </si>
  <si>
    <t>0973545020105</t>
  </si>
  <si>
    <t>W905</t>
  </si>
  <si>
    <t>0973545020105EQ00_A1 0973545020105LM00_A0</t>
  </si>
  <si>
    <t>0973545020206</t>
  </si>
  <si>
    <t>W906</t>
  </si>
  <si>
    <t>0973545020206EQ00_A1 0973545020206LM00_A0</t>
  </si>
  <si>
    <t>10-12 un extremo trae un conector de panel y debe ser aereo</t>
  </si>
  <si>
    <t>0973545020107</t>
  </si>
  <si>
    <t>W907</t>
  </si>
  <si>
    <t>0973545020107EQ00_A2 0973545020107LM00_A0</t>
  </si>
  <si>
    <t>0973545020208</t>
  </si>
  <si>
    <t>W908</t>
  </si>
  <si>
    <t>0973545020208EQ00_A1 0973545020208LM00_A0</t>
  </si>
  <si>
    <t>0973545020209</t>
  </si>
  <si>
    <t>W909</t>
  </si>
  <si>
    <t>0973545020209EQ00_A1 0973545020209LM00_A0</t>
  </si>
  <si>
    <t>0973545020300</t>
  </si>
  <si>
    <t>W910</t>
  </si>
  <si>
    <t>0973545020300LM00_A0 
0973545020300EQ00_A0</t>
  </si>
  <si>
    <t>0973545020413</t>
  </si>
  <si>
    <t>W913</t>
  </si>
  <si>
    <t>0973545020413EQ00_A0 0973545020413LM00_A0</t>
  </si>
  <si>
    <t>4-12 En la documentación no se indican colo res , no malla para tapar los casquillos. Los casquillos que vienen en documentación no vales para ese cable, si no se enfunda el cable el casquillo quedará visto. Tal y como está enfocado el proceso de integración será 10 veces más costoso.                                                    OP en montaje sin faltantes</t>
  </si>
  <si>
    <t>0973545020414</t>
  </si>
  <si>
    <t>W914</t>
  </si>
  <si>
    <t>0973545020414EQ00_A0 0973545020414LM00_A0</t>
  </si>
  <si>
    <t>0973545020415</t>
  </si>
  <si>
    <t>W915</t>
  </si>
  <si>
    <t>0973545020415EQ00_A0 0973545020415LM00_A0</t>
  </si>
  <si>
    <t>0973545020417</t>
  </si>
  <si>
    <t>W917</t>
  </si>
  <si>
    <t>0973545020417EQ00_A0 0973545020417LM00_A0</t>
  </si>
  <si>
    <t>0973545020118</t>
  </si>
  <si>
    <t>W918</t>
  </si>
  <si>
    <t>0973545020118EQ00_A1 0973545020118LM00_A0</t>
  </si>
  <si>
    <t>10-12 en un extremo viene un conector de panel y debe de ser aéreo</t>
  </si>
  <si>
    <t>0973545020520</t>
  </si>
  <si>
    <t>W920</t>
  </si>
  <si>
    <t>0973545020520LM00_A0 0973545020520EQ00_A0</t>
  </si>
  <si>
    <t>0973545020423</t>
  </si>
  <si>
    <t>W923</t>
  </si>
  <si>
    <t>0973545020423EQ00_A0 0973545020423LM00_A0</t>
  </si>
  <si>
    <t>0973545020424</t>
  </si>
  <si>
    <t>W924</t>
  </si>
  <si>
    <t>0973545020424EQ00_A0 0973545020424LM00_A0</t>
  </si>
  <si>
    <t>0973545020425</t>
  </si>
  <si>
    <t>W925</t>
  </si>
  <si>
    <t>0973545020425EQ00_A0 0973545020425LM00_A0</t>
  </si>
  <si>
    <t>0973545020427</t>
  </si>
  <si>
    <t>W927</t>
  </si>
  <si>
    <t>0973545020427EQ00_A0 0973545020427LM00_A0</t>
  </si>
  <si>
    <t>0973545092900</t>
  </si>
  <si>
    <t>W929</t>
  </si>
  <si>
    <t>0973545092900EQ00_A0 0973545092900LM00_A0</t>
  </si>
  <si>
    <t>0973545020530</t>
  </si>
  <si>
    <t>W930</t>
  </si>
  <si>
    <t>0973545020530LM00_A0 0973545020530EQ00_A0</t>
  </si>
  <si>
    <t>0973545020433</t>
  </si>
  <si>
    <t>W933</t>
  </si>
  <si>
    <t>0973545020433EQ00_A0 0973545020433LM00_A0</t>
  </si>
  <si>
    <t>0973545020434</t>
  </si>
  <si>
    <t>W934</t>
  </si>
  <si>
    <t>0973545020434EQ00_A0 0973545020434LM00_A0</t>
  </si>
  <si>
    <t>0973545020435</t>
  </si>
  <si>
    <t>W935</t>
  </si>
  <si>
    <t>0973545020435EQ00_A0 0973545020435LM00_A0</t>
  </si>
  <si>
    <t>0973545020437</t>
  </si>
  <si>
    <t>W937</t>
  </si>
  <si>
    <t xml:space="preserve">0973545020437EQ00_A0
0973545020437LM00_A0 </t>
  </si>
  <si>
    <t>0973545020540</t>
  </si>
  <si>
    <t>W940</t>
  </si>
  <si>
    <t>0973545020540LM00_A0 0973545020540EQ00_A0</t>
  </si>
  <si>
    <t>0973545020445</t>
  </si>
  <si>
    <t>W945</t>
  </si>
  <si>
    <t>0973545020445EQ00_A0 0973545020445LM00_A0</t>
  </si>
  <si>
    <t>0973545020447</t>
  </si>
  <si>
    <t>W947</t>
  </si>
  <si>
    <t>0973545020447EQ00_A0 0973545020447LM00_A0</t>
  </si>
  <si>
    <t>0973545020455</t>
  </si>
  <si>
    <t>W955</t>
  </si>
  <si>
    <t>0973545020455EQ00_A0 0973545020455LM00_A0</t>
  </si>
  <si>
    <t>0973545020457</t>
  </si>
  <si>
    <t>W957</t>
  </si>
  <si>
    <t>0973545020457EQ00_A0 0973545020457LM00_A0</t>
  </si>
  <si>
    <t>0973545020467</t>
  </si>
  <si>
    <t>W967</t>
  </si>
  <si>
    <t>0973545020467EQ00_A0 0973545020467LM00_A0</t>
  </si>
  <si>
    <t>0973545020477</t>
  </si>
  <si>
    <t>W977</t>
  </si>
  <si>
    <t>0973545020477EQ00_A0 0973545020477LM00_A0</t>
  </si>
  <si>
    <t>0973545020881</t>
  </si>
  <si>
    <t>W981</t>
  </si>
  <si>
    <t>0973545020881LM00_A0 0973545020881EQ00_A0</t>
  </si>
  <si>
    <t>0973545020882</t>
  </si>
  <si>
    <t>W982</t>
  </si>
  <si>
    <t>0973545020882LM00_A0 0973545020882EQ00_A0</t>
  </si>
  <si>
    <t>0973545020683</t>
  </si>
  <si>
    <t>W983</t>
  </si>
  <si>
    <t>0973545020683LM00_A1 0973545020683EQ00_A1 0973524020000DI00_A1</t>
  </si>
  <si>
    <t xml:space="preserve">09/12: Falta conector P1. 
</t>
  </si>
  <si>
    <t>0973545020684</t>
  </si>
  <si>
    <t>W984</t>
  </si>
  <si>
    <t>0973545020684LM00_A1 0973545020684EQ00_A1 0973524020000DI00_A1</t>
  </si>
  <si>
    <t>0973545020685</t>
  </si>
  <si>
    <t>W985</t>
  </si>
  <si>
    <t>0973545020685LM00_A1  0973545020685EQ00_A1 0973524020000DI00_A1</t>
  </si>
  <si>
    <t>0973545020886</t>
  </si>
  <si>
    <t>W986</t>
  </si>
  <si>
    <t>0973545020886LM00_A0 0973545020886EQ00_A0</t>
  </si>
  <si>
    <t>0973545020687</t>
  </si>
  <si>
    <t>W987</t>
  </si>
  <si>
    <t>0973545020687LM00_A0 0973545020687EQ00_A1 0973524020000DI00_A1</t>
  </si>
  <si>
    <t>0973545020688</t>
  </si>
  <si>
    <t>W988</t>
  </si>
  <si>
    <t>0973545020688LM00_A1 0973545020688EQ00_A1 0973524020000DI00_A1</t>
  </si>
  <si>
    <t>0973545020700</t>
  </si>
  <si>
    <t>CAN10 T</t>
  </si>
  <si>
    <t>0973545020700LM00_A0 0973545020700EQ00_A0</t>
  </si>
  <si>
    <t>0973544190100</t>
  </si>
  <si>
    <t>PWR OVHDP</t>
  </si>
  <si>
    <t>CABLE SET POWER EEQ#1</t>
  </si>
  <si>
    <t>0973544190100EQ00_A0
0973544190100LM00_A0</t>
  </si>
  <si>
    <t>2/12 se ha montado lo posible pero la LM no tiene backshell y es de alimentación.                                                                                                                                     OP en montaje sin faltantes</t>
  </si>
  <si>
    <t>0973544190200</t>
  </si>
  <si>
    <t>PWR RTIO ASSY</t>
  </si>
  <si>
    <t>0973544190200EQ00_A0
0973544190200LM00_A0</t>
  </si>
  <si>
    <t>0973544190300</t>
  </si>
  <si>
    <t>PWR PD#1</t>
  </si>
  <si>
    <t>0973544190300EQ00_A0
0973544190300LM00_A0</t>
  </si>
  <si>
    <t>0973544190400</t>
  </si>
  <si>
    <t>PWR PD#2</t>
  </si>
  <si>
    <t>0973544190400EQ00_A0
0973544190400LM00_A0</t>
  </si>
  <si>
    <t>0973544200100</t>
  </si>
  <si>
    <t>PWR PD#3</t>
  </si>
  <si>
    <t>0973544200100EQ00_A0
0973544200100LM00_A0</t>
  </si>
  <si>
    <t>0973544201200</t>
  </si>
  <si>
    <t>PWR IOS#2 TFT1</t>
  </si>
  <si>
    <t>0973525200000EQ00_A0
0973544201200DE00_A0
0973544201200LM00_A0</t>
  </si>
  <si>
    <t>Según correo de N. Torrijano, lanzar individual</t>
  </si>
  <si>
    <t>0973544201300</t>
  </si>
  <si>
    <t>USB IOS#2 TFT</t>
  </si>
  <si>
    <t>0973525200000EQ00_A0
0973544201300DE00_A0
0973544201300LM00_A0</t>
  </si>
  <si>
    <t>0973544201400</t>
  </si>
  <si>
    <t>VIDEO IOS#2 TFT</t>
  </si>
  <si>
    <t>0973525200000EQ00_A0
0973544201400DE00_A0
0973544201400LM00_A0</t>
  </si>
  <si>
    <t>0973544200615</t>
  </si>
  <si>
    <t>RED RTIO #1</t>
  </si>
  <si>
    <t xml:space="preserve">   CABLE SET RJ45 EEQ#2</t>
  </si>
  <si>
    <t>0973525330000DI00_A0
0973524200600DE00_A0</t>
  </si>
  <si>
    <t>Cambiamos a 50 y se lanzará con la del padre 0973524200600</t>
  </si>
  <si>
    <t>0973544200616</t>
  </si>
  <si>
    <t>RED RTIO #2</t>
  </si>
  <si>
    <t>0973544200617</t>
  </si>
  <si>
    <t>RED RTIO #3</t>
  </si>
  <si>
    <t>0973544200618</t>
  </si>
  <si>
    <t>RED RTIO #4</t>
  </si>
  <si>
    <t>0973544200619</t>
  </si>
  <si>
    <t>RED RTIO #5</t>
  </si>
  <si>
    <t>0973544200620</t>
  </si>
  <si>
    <t>RED RTIO #6</t>
  </si>
  <si>
    <t>0973544200621</t>
  </si>
  <si>
    <t>RED RTIO COM</t>
  </si>
  <si>
    <t>0973544190500</t>
  </si>
  <si>
    <t>PWR MIPPDP</t>
  </si>
  <si>
    <t>0973544190500EQ00_A0
0973544190500LM00_A0</t>
  </si>
  <si>
    <t>0973524212100DI00_A0
0973524212100LM00_A0</t>
  </si>
  <si>
    <t>CABLE SET CLS</t>
  </si>
  <si>
    <t>0973525170100DI00_A0
0973525170100LM00_A0</t>
  </si>
  <si>
    <t>0973545037000</t>
  </si>
  <si>
    <t>PENDIENTE</t>
  </si>
  <si>
    <t>0973544190600</t>
  </si>
  <si>
    <t>PWR LEFT FWD PWR STRIP</t>
  </si>
  <si>
    <t>0973524190600EQ00_A0
0973524190600LM00_A0</t>
  </si>
  <si>
    <t>0973544200200</t>
  </si>
  <si>
    <t>PWR IOS#1</t>
  </si>
  <si>
    <t>0973544200200EQ00_A0
0973544200200LM00_A0</t>
  </si>
  <si>
    <t xml:space="preserve">Material solicitado a Cabanillas. Cuando llegue sacaremos la OP a laboratorio. </t>
  </si>
  <si>
    <t>0972844204506</t>
  </si>
  <si>
    <t>VIDEO OFT ANNUN</t>
  </si>
  <si>
    <t>0972844204506DE00_A0
0972844204506LM00_A0</t>
  </si>
  <si>
    <t>04/12: Cable aprovisionado por RS, sacar de Kardex.</t>
  </si>
  <si>
    <t>0973544200601</t>
  </si>
  <si>
    <t>LAN AVICOM RT</t>
  </si>
  <si>
    <r>
      <rPr>
        <sz val="11"/>
        <color rgb="FFFF0000"/>
        <rFont val="Arial"/>
        <family val="2"/>
      </rPr>
      <t>0973524200600DE00_A0
0973544200601LM00_A0
0973525330000DI00_A0</t>
    </r>
  </si>
  <si>
    <t>0973544200602</t>
  </si>
  <si>
    <t>LAN EGPWS RT</t>
  </si>
  <si>
    <r>
      <rPr>
        <sz val="11"/>
        <color rgb="FFFF0000"/>
        <rFont val="Arial"/>
        <family val="2"/>
      </rPr>
      <t>0973525330000DI00_A0
0973524200600DE00_A0</t>
    </r>
  </si>
  <si>
    <t>0973544200603</t>
  </si>
  <si>
    <t>LAN RTIO RT</t>
  </si>
  <si>
    <t>0973544200604</t>
  </si>
  <si>
    <t>LAN CLS RT</t>
  </si>
  <si>
    <t>0973544200605</t>
  </si>
  <si>
    <t>LAN EQUALIZER RT</t>
  </si>
  <si>
    <t>0973544200606</t>
  </si>
  <si>
    <t>LAN AVICOM MNT</t>
  </si>
  <si>
    <t>0973544200607</t>
  </si>
  <si>
    <t>LAN EGPWS MNT</t>
  </si>
  <si>
    <t>0973544200608</t>
  </si>
  <si>
    <t>LAN RTIO MNT</t>
  </si>
  <si>
    <t>0973544200609</t>
  </si>
  <si>
    <t>LAN CLS MNT</t>
  </si>
  <si>
    <t>0973544200610</t>
  </si>
  <si>
    <t>LAN TEMP MNT</t>
  </si>
  <si>
    <t>0973544200611</t>
  </si>
  <si>
    <t>LAN DBFCAM MNT</t>
  </si>
  <si>
    <t>0973544200622</t>
  </si>
  <si>
    <t>KVM AVICOM</t>
  </si>
  <si>
    <r>
      <rPr>
        <sz val="11"/>
        <color rgb="FFFF0000"/>
        <rFont val="Arial"/>
        <family val="2"/>
      </rPr>
      <t>0973525200000EQ00_A0
0973544200622LM00_A0
0973524200600DE00_A0</t>
    </r>
  </si>
  <si>
    <t>0973544200623</t>
  </si>
  <si>
    <t>KVM EGPWS</t>
  </si>
  <si>
    <r>
      <rPr>
        <sz val="11"/>
        <color rgb="FFFF0000"/>
        <rFont val="Arial"/>
        <family val="2"/>
      </rPr>
      <t>0973525200000EQ00_A0
0973544200623LM00_A0
0973524200600DE00_A0</t>
    </r>
  </si>
  <si>
    <t>0973544200624</t>
  </si>
  <si>
    <t>KVM RTIO</t>
  </si>
  <si>
    <r>
      <rPr>
        <sz val="11"/>
        <color rgb="FFFF0000"/>
        <rFont val="Arial"/>
        <family val="2"/>
      </rPr>
      <t>0973525200000EQ00_A0
0973544200624LM00_A0
0973524200600DE00_A0</t>
    </r>
  </si>
  <si>
    <t>0973544200625</t>
  </si>
  <si>
    <t>KVM CLS</t>
  </si>
  <si>
    <r>
      <rPr>
        <sz val="11"/>
        <color rgb="FFFF0000"/>
        <rFont val="Arial"/>
        <family val="2"/>
      </rPr>
      <t>0973525200000EQ00_A0
0973544200625LM00_A0
0973524200600DE00_A0</t>
    </r>
  </si>
  <si>
    <t>0973525330000DI00_A0
0973524200600DE00_A0
0973524200600LM00_A0</t>
  </si>
  <si>
    <t>Se lanzará con la del Padre 0973524200600, se fantasman los hijos</t>
  </si>
  <si>
    <t>0973525330000DI00_A0
0973524017000LM00_A0</t>
  </si>
  <si>
    <t>18/11/2024 - Subido a ICM</t>
  </si>
  <si>
    <t>0973544000140</t>
  </si>
  <si>
    <t>UTP PANEL</t>
  </si>
  <si>
    <t>Material solicitado a Cabanillas. Cuando llegue sacaremos la OP a laboratorio. Esta OP tiene los siguientes faltantes:                                                                                            * 1229508280505 - CBL EQ UTP RJ45-M/M 50FT AMAR CAT6 LSZH ( PO 4200582605/00060 Fecha entrega 22.11.2024)                                                                                  OP HIJO</t>
  </si>
  <si>
    <t>0973544000141</t>
  </si>
  <si>
    <t>CAMERA #1</t>
  </si>
  <si>
    <t>0973544000142</t>
  </si>
  <si>
    <t>CAMERA #2</t>
  </si>
  <si>
    <t>0973525030000DM00_A0
0973525030000LM00_A0</t>
  </si>
  <si>
    <t>0973525040000DM00_A0
0973525040000LM00_A0</t>
  </si>
  <si>
    <t>0973525050000DM00_A0
0973525050000LM00_A0</t>
  </si>
  <si>
    <t>0973525060000DM00_A0
0973525060000LM00_A0</t>
  </si>
  <si>
    <t>0973520000000AI00_A0 0973525070000DM00_A0 0973525070000LM00_A0</t>
  </si>
  <si>
    <t>0973525070700.00</t>
  </si>
  <si>
    <t>CENTER INSTRUMENT PANEL RIGHT</t>
  </si>
  <si>
    <t>0973520000000AI00_A0
'0973525070700DM00_A0
'0973525070700LM00_A0</t>
  </si>
  <si>
    <t>0973525070800.00</t>
  </si>
  <si>
    <t>CENTER INSTRUMENT PANEL LEFT</t>
  </si>
  <si>
    <t>0973520000000AI00_A0
0973525070800DM00_A0
0973525070800LM00_A0</t>
  </si>
  <si>
    <t>0973520000000AI00_A0
0973525090000DM00_A0
0973525090000LM00_A0</t>
  </si>
  <si>
    <t>0973520000000AI00_A2
0973525110000DM00_A0
0973525110000LM00_A0</t>
  </si>
  <si>
    <t>0973520000000AI00_A0
0973525160000DM00_A0
0973525160000LM00_A0</t>
  </si>
  <si>
    <t>0971725344500</t>
  </si>
  <si>
    <t>POWER EMERGENCY STOP</t>
  </si>
  <si>
    <t>0973525334600.00</t>
  </si>
  <si>
    <t>RACK POWER BOX</t>
  </si>
  <si>
    <t>0973525334600EQ00_A0
0973525334600LM00_A0
0973525334600DE00_A0</t>
  </si>
  <si>
    <t>0973544000102</t>
  </si>
  <si>
    <t>REAL TIME UTP II</t>
  </si>
  <si>
    <t>0973525330000DI00_A0
0973524000100DE00_A0
0973544000102LM00_A0</t>
  </si>
  <si>
    <t>0973544000120</t>
  </si>
  <si>
    <t>SERVICE UTP VII</t>
  </si>
  <si>
    <t>0973525330000DI00_A0
0973524000100DE00_A0
0973544000120LM00_A0</t>
  </si>
  <si>
    <t>0972823305100.00</t>
  </si>
  <si>
    <t>VACCUM CONTROLLER BOX</t>
  </si>
  <si>
    <t>Fecha</t>
  </si>
  <si>
    <t>Actual</t>
  </si>
  <si>
    <t>ESTADO IMs</t>
  </si>
  <si>
    <t>RECUENTO INCIDENCIAS</t>
  </si>
  <si>
    <t>Pendiente</t>
  </si>
  <si>
    <t>Borrador</t>
  </si>
  <si>
    <t>OPs con Incidencias</t>
  </si>
  <si>
    <t>Cerrada</t>
  </si>
  <si>
    <t>OPs sin Incidencias</t>
  </si>
  <si>
    <t xml:space="preserve">TOTAL </t>
  </si>
  <si>
    <t>Total OPs</t>
  </si>
  <si>
    <t>%OPs con Incidencias</t>
  </si>
  <si>
    <t>Nº</t>
  </si>
  <si>
    <t>Fecha creación</t>
  </si>
  <si>
    <t>Código IM</t>
  </si>
  <si>
    <t>Versión</t>
  </si>
  <si>
    <t>Responsable</t>
  </si>
  <si>
    <t>ESTADO</t>
  </si>
  <si>
    <t>0973525010000.00</t>
  </si>
  <si>
    <t>COCKPIT</t>
  </si>
  <si>
    <t>No requiere trabajos de producción.</t>
  </si>
  <si>
    <t>Pendiente actualización de la documentación de diseño.</t>
  </si>
  <si>
    <t>0973525030000IM00_A0</t>
  </si>
  <si>
    <t>dgcrujera</t>
  </si>
  <si>
    <t>0973525030500IM00_A0</t>
  </si>
  <si>
    <t>0973525031000IM00_A0</t>
  </si>
  <si>
    <t>0973525060000IM00_A0</t>
  </si>
  <si>
    <t xml:space="preserve">Pendiente documentación de diseño actualizada donde se incluyan los tornillos de fijacion para los paneles. </t>
  </si>
  <si>
    <t>HAND MIC PANEL FO</t>
  </si>
  <si>
    <t>0973525060500IM00_A0</t>
  </si>
  <si>
    <t xml:space="preserve">Pendiente incluir fotografias reales del equipo terminado. </t>
  </si>
  <si>
    <t>0973525060900IM00_A0</t>
  </si>
  <si>
    <t>Closed</t>
  </si>
  <si>
    <t>Pendiente incluir fotografias reales del equipo, actualmente instalado en cabina, no se puede acceder.</t>
  </si>
  <si>
    <t>0971725082600</t>
  </si>
  <si>
    <t>COCKPIT HANDSET ASSEMBLY</t>
  </si>
  <si>
    <t>PD</t>
  </si>
  <si>
    <t>AUDIO CONNECTION PANEL F/O</t>
  </si>
  <si>
    <t>Pendiente incluir fotografias reales y comentarios</t>
  </si>
  <si>
    <t xml:space="preserve">Pendiente de incluir fotografías reales </t>
  </si>
  <si>
    <t>CABLE SET DISPLAY VIDEO PROJECTION</t>
  </si>
  <si>
    <t>.</t>
  </si>
  <si>
    <t>0973523068700</t>
  </si>
  <si>
    <t>Pendiente incluir fotografias reales</t>
  </si>
  <si>
    <t>0973524000100-R</t>
  </si>
  <si>
    <t>0973525410100.00</t>
  </si>
  <si>
    <t>SMOKE GENERATOR MACHINE ASSY</t>
  </si>
  <si>
    <t>A1</t>
  </si>
  <si>
    <t xml:space="preserve">Falta por definir la conexión al chasis del baseframe, armarios embarcados y equipos comerciales. </t>
  </si>
  <si>
    <t>REF. HW</t>
  </si>
  <si>
    <t>NIVEL</t>
  </si>
  <si>
    <t>COMPONENTE</t>
  </si>
  <si>
    <t>CODIGO SICA</t>
  </si>
  <si>
    <t>A320 SN06 HW</t>
  </si>
  <si>
    <t>0973520000000</t>
  </si>
  <si>
    <t>INTERCONNECTION</t>
  </si>
  <si>
    <t>0973524000000</t>
  </si>
  <si>
    <t>A01</t>
  </si>
  <si>
    <t>A0101</t>
  </si>
  <si>
    <t>A010101</t>
  </si>
  <si>
    <t>A010102</t>
  </si>
  <si>
    <t>A010103</t>
  </si>
  <si>
    <t>A010104</t>
  </si>
  <si>
    <t>A010105</t>
  </si>
  <si>
    <t>A010106</t>
  </si>
  <si>
    <t>A010107</t>
  </si>
  <si>
    <t>A010111</t>
  </si>
  <si>
    <t>A010117</t>
  </si>
  <si>
    <t>A010118</t>
  </si>
  <si>
    <t>A010119</t>
  </si>
  <si>
    <t>A0102</t>
  </si>
  <si>
    <t>0972825170000.00</t>
  </si>
  <si>
    <t>A02</t>
  </si>
  <si>
    <t>A0201</t>
  </si>
  <si>
    <t>A0203</t>
  </si>
  <si>
    <t>A0204</t>
  </si>
  <si>
    <t>A0206</t>
  </si>
  <si>
    <t>A0208</t>
  </si>
  <si>
    <t>A03</t>
  </si>
  <si>
    <t>A04</t>
  </si>
  <si>
    <t>A05</t>
  </si>
  <si>
    <t>A07</t>
  </si>
  <si>
    <t>A08</t>
  </si>
  <si>
    <t>A09</t>
  </si>
  <si>
    <t>PROCESSOR RACK #2</t>
  </si>
  <si>
    <t>0973525340000.00</t>
  </si>
  <si>
    <t>A12</t>
  </si>
  <si>
    <t>UPS</t>
  </si>
  <si>
    <t>0972825370000.00</t>
  </si>
  <si>
    <t>A14</t>
  </si>
  <si>
    <t>A15</t>
  </si>
  <si>
    <t>0972825400000.00</t>
  </si>
  <si>
    <t>A18</t>
  </si>
  <si>
    <t>A21</t>
  </si>
  <si>
    <t>POWER CABINET</t>
  </si>
  <si>
    <t>0973525430000.00</t>
  </si>
  <si>
    <t>A26</t>
  </si>
  <si>
    <t>PLANNER STATION</t>
  </si>
  <si>
    <t>0973525470000.00</t>
  </si>
  <si>
    <t>A27</t>
  </si>
  <si>
    <t>ESTADOS Ops</t>
  </si>
  <si>
    <t>Planificación</t>
  </si>
  <si>
    <t>Producción</t>
  </si>
  <si>
    <t>Finalizadas</t>
  </si>
  <si>
    <t>Estados OP</t>
  </si>
  <si>
    <t>Avance</t>
  </si>
  <si>
    <t>Destinatarios</t>
  </si>
  <si>
    <t>DestinatariosCC</t>
  </si>
  <si>
    <t>Sugenrencia destinatarios</t>
  </si>
  <si>
    <t>smamaro@indra.es</t>
  </si>
  <si>
    <t>jamperez@indra.es</t>
  </si>
  <si>
    <t>fgrecio@indra.es</t>
  </si>
  <si>
    <t>avizcainoc@indra.es</t>
  </si>
  <si>
    <t>NO OK</t>
  </si>
  <si>
    <t>ntorijano@indra.es</t>
  </si>
  <si>
    <t>drsanmartin@indra.es</t>
  </si>
  <si>
    <t>mcarreteroj</t>
  </si>
  <si>
    <t>CANCELADA</t>
  </si>
  <si>
    <t>Ingenieria - 50</t>
  </si>
  <si>
    <t>Diseño cerrado - 50</t>
  </si>
  <si>
    <t>Sin nº de serie - 50</t>
  </si>
  <si>
    <t>Control Producción - 50</t>
  </si>
  <si>
    <t>Sin stock de materiales claves - 50</t>
  </si>
  <si>
    <t>Montaje - 50</t>
  </si>
  <si>
    <t>Parada: Instalación - 50</t>
  </si>
  <si>
    <t>Parada: Material - 50</t>
  </si>
  <si>
    <t>Parada: Diseño - 50</t>
  </si>
  <si>
    <t>Calidad - 50</t>
  </si>
  <si>
    <t>Calidad NO OK - 50</t>
  </si>
  <si>
    <t>Finalizada - 50</t>
  </si>
  <si>
    <t>Planificación -50</t>
  </si>
  <si>
    <t>Montaje In-situ</t>
  </si>
  <si>
    <t>Título de pedido</t>
  </si>
  <si>
    <t>Proyecto suministrador</t>
  </si>
  <si>
    <t>Fecha fin planificada</t>
  </si>
  <si>
    <t>Fecha inicio planificada</t>
  </si>
  <si>
    <t>Presupuesto planificado</t>
  </si>
  <si>
    <t>Divisa</t>
  </si>
  <si>
    <t>Unidad de negocio Suministradora</t>
  </si>
  <si>
    <t>Suministrador</t>
  </si>
  <si>
    <t>Centro prod.</t>
  </si>
  <si>
    <t>Código material</t>
  </si>
  <si>
    <t>Proy/Elem peticionario</t>
  </si>
  <si>
    <t>Prod. Cableados y Mazos (Lab 1 x FFS A320 - España - España</t>
  </si>
  <si>
    <t>JA2593/1001</t>
  </si>
  <si>
    <t xml:space="preserve"> EUR</t>
  </si>
  <si>
    <t>TSDSIM - PROD SIMULACIÓN CP6000</t>
  </si>
  <si>
    <t>Mateos Ortega, Juan José</t>
  </si>
  <si>
    <t>Pendiente de SAP</t>
  </si>
  <si>
    <t>AC610000019</t>
  </si>
  <si>
    <t>S24B05/P10321</t>
  </si>
  <si>
    <t>Instal. cableados y mec.1 x FFS A320 - España - España</t>
  </si>
  <si>
    <t>JA2594/1001</t>
  </si>
  <si>
    <t>AC610000020</t>
  </si>
  <si>
    <t>S24B05/P10322</t>
  </si>
  <si>
    <t>SAP firmas</t>
  </si>
  <si>
    <t>Parada Materiales</t>
  </si>
  <si>
    <t>Parada Diseño</t>
  </si>
  <si>
    <t>Parada Instalación</t>
  </si>
  <si>
    <t xml:space="preserve">Simulador </t>
  </si>
  <si>
    <t xml:space="preserve">Fecha Inicio </t>
  </si>
  <si>
    <t>Fecha de entrega</t>
  </si>
  <si>
    <t>A320 SN06</t>
  </si>
  <si>
    <t>Control Prod</t>
  </si>
  <si>
    <t>Sin stock  claves</t>
  </si>
  <si>
    <t>Total</t>
  </si>
  <si>
    <t>LM cerrada / Planificación</t>
  </si>
  <si>
    <t>ESTADO INCIDENCIAS</t>
  </si>
  <si>
    <t>Abierta</t>
  </si>
  <si>
    <t>C295 MPA</t>
  </si>
  <si>
    <t>0973500000000.00</t>
  </si>
  <si>
    <t>Fecha detección</t>
  </si>
  <si>
    <t>Nombre</t>
  </si>
  <si>
    <t>Comentario</t>
  </si>
  <si>
    <t>Comentario HW</t>
  </si>
  <si>
    <t>Columna1</t>
  </si>
  <si>
    <t>Este código consta de los elementos Flight Compartment y Cockpit Baseframe. En los planos no se detalla como se fijan ambas estructuras. OP instrumental, no requiere trabajos de producción. Considerar eliminar OP.</t>
  </si>
  <si>
    <t>jgdelapena 09/09/2025: Eliminar OP</t>
  </si>
  <si>
    <t>Open</t>
  </si>
  <si>
    <t>No aparece las fijaciones de los altavoces ni sus etiquetas.
No aparecen las fijaciones del A31 ni su etiqueta (conjunto sensor humo y temperatura del morro)</t>
  </si>
  <si>
    <t>jgdelapena 09/09/2025: Incluido en la nueva versión</t>
  </si>
  <si>
    <t>1.- En este código aparecen los altavoces, sin embargo no aparece como van fijados a la estructura. Incluir el etiquetado de los altavoces.</t>
  </si>
  <si>
    <t>2.- En este código aparece la rejiband del morro, sin embargo no se detalla como se fija. Incluir la tornilleia  y el mecanizado necesario a realizar.</t>
  </si>
  <si>
    <t>No aparecen las fijaciones del 17VU (A05)</t>
  </si>
  <si>
    <t>Se añaden los tornillos, a falta de subir a SAP cuando se pruebe los elementos</t>
  </si>
  <si>
    <t xml:space="preserve">Las imágenes que aparecen en el plano son confusas, ya que pertenecen a versiones diferentes del mismo panel. En unas aparece la conexión ethernet y en otras no. Definir cual es la versión correcta. En caso de que sea la versión con conector ethernet, añadir una nota donde se concrete qeu hacer con el cable sobrante. </t>
  </si>
  <si>
    <t>jgdelapena 09/09/2025: Cambiado en la nueva versión</t>
  </si>
  <si>
    <t>Es necesario clarificar cuales son los pines del conector 18RN5. 
Pendiente actualizar en SAP. 
jgdelapena: Documento necesita PCI para poder subir nueva versión</t>
  </si>
  <si>
    <t>Pendiente actualizar en SAP. 
jgdelapena: Documento necesita PCI para poder subir nueva versión</t>
  </si>
  <si>
    <t>Esta OP no tiene montaje, ya viene montado con la cabina. Revisar esto, en caso de que no sea necesario intalar ningun elemento, considerar eliminar la OP y meter los elementos en la OP padre (FLIGHT COMPARTMENT)</t>
  </si>
  <si>
    <t>Los elemento de esta OP de cara a otro simulador no tienen porque venir montado.</t>
  </si>
  <si>
    <t>No aparecen las fijaciones del 16VU (A05)
No aparecen las fijaciones del 62VU (A09)</t>
  </si>
  <si>
    <t>Se añaden los tornillos, a falta de subir a SAP cuando se pruebe los elementos
jgdelapena 10/09:
Mecánica</t>
  </si>
  <si>
    <t>Versión definitiva EQ-A1 y LM-A0 subida a SAP</t>
  </si>
  <si>
    <t xml:space="preserve">Es necesario clarificar cuales son los pines del conector 17RN3. </t>
  </si>
  <si>
    <t xml:space="preserve">No caben las etiquetas. </t>
  </si>
  <si>
    <t>Tornillo de tierra sin conexión.</t>
  </si>
  <si>
    <t>No aparecen las fijaciones de los paneles 301VU, 500VU, 400VU, 401VU…
No aparecen los embellecedores.</t>
  </si>
  <si>
    <t>Tornillos del placard en LM/DE</t>
  </si>
  <si>
    <t>EQ, DE y LM corregidas, LM y DE en SAP, EQ en proceso,</t>
  </si>
  <si>
    <t xml:space="preserve">Color del cable instalado y etiquetas. Resistencia internal de los potenciometros + algunos errores relativos a referencias de cables y pines. Consultar mail. </t>
  </si>
  <si>
    <t xml:space="preserve">No aparecen los paneles ciegos. </t>
  </si>
  <si>
    <t>Se sigue la organización de airbus, en cuanto a modulacion de los elementos</t>
  </si>
  <si>
    <t>Considerar eliminar eliminar esta OP y añadir los hijos (paneles) a la OP padre MAIN INSTRUMENT PANEL</t>
  </si>
  <si>
    <t>2100VC.C: Cable AWG18 y pin AWG20.</t>
  </si>
  <si>
    <t>Resuelta incidencia, en LM, DE y EQ. LM y DE en SAP, EQ en proceso</t>
  </si>
  <si>
    <t>Referencia a señales y pines ineficientes, carecen de utilidad o son erroneas.</t>
  </si>
  <si>
    <t xml:space="preserve">Tornillos placard y arandela dentada. </t>
  </si>
  <si>
    <t xml:space="preserve">Color del cable instalado y etiquetas. Resistencia internal de los potenciometros + algunos errores relativos a referencias de cables y pines. </t>
  </si>
  <si>
    <t>EQ, DE y LM corregidas,DE y LM en SAP, EQ en proceso</t>
  </si>
  <si>
    <t>Tornillos del placard en DE y arandela dentada.</t>
  </si>
  <si>
    <t>Faltan tornillos del 35LF y 36LF
Faltan paneles ciegos
Faltan tornillos de 7CE, 114VU, 115VU
¿Cómo se fija el telefono?</t>
  </si>
  <si>
    <t>Añadir tornilleria para fijar paneles.</t>
  </si>
  <si>
    <t>FLOOD LIGHT &amp; INTEGRAL PANEL</t>
  </si>
  <si>
    <t>Falta la arandela dentada en la LM y los tornillos de fijación del placard.
Faltan indicar la arandela dentada y los tornillos de fijación del placard. Errata en el titulo del plano LOGHT.</t>
  </si>
  <si>
    <t>Se añaden elementos, a falta de subir a SAP cuando se pruebe la unidad</t>
  </si>
  <si>
    <t xml:space="preserve">FLOOD LIGHT PANEL </t>
  </si>
  <si>
    <t>Faltan los tornillos del placard en la LM y la arandela dentada. 
Faltan indicar los tornillos del placard.  Esta unidad no tiene DE, incluir tornillos en el EQ y la arandela dentada.</t>
  </si>
  <si>
    <t>EQ y LM corregidas,DE y LM en SAP, EQ en proceso</t>
  </si>
  <si>
    <t xml:space="preserve">Referencia de boton incorrecta en el plano. Referencias de señales incorrectas o incongruentes. 
Necesario eliminar R1 de la LM, añadir tornillos del placard y la ranadela dentada. </t>
  </si>
  <si>
    <t>EQ, DE y LM corregidas, EQ y DE en SAP, LM en proceso,</t>
  </si>
  <si>
    <t>Referencias pines y señales + pin P1,74 sin cable, se recablea. 
Quitar clemas, añadir tornillos del placard y arandela dentada</t>
  </si>
  <si>
    <t xml:space="preserve">LM, EQ y DE corregidas y en SAP. </t>
  </si>
  <si>
    <t>Necesario actualizar LM debido a cambios en el diseño mecánico. Añadir arandela dentada y tornillos del placard</t>
  </si>
  <si>
    <t>Resuelto DE LM y EQ. DE y LM en SAP, EQ en proceso</t>
  </si>
  <si>
    <t xml:space="preserve">Tornillos del placard en LM y arandaela dentada. Además uno de los taladros de la card support no encajaba y se ha tenido que hacer un taladro nuevo sobre la unidad. 
Eq con multiple errores relativos a referencias de pines y señales. </t>
  </si>
  <si>
    <t>Corregida LM, EQ y DE</t>
  </si>
  <si>
    <t xml:space="preserve">No se indican las modificaciones que realizar sobre el elemento comercial. No hay plano, solo LM con un solo componente. Si HW realiza algun cambio al dispositivo comercial es necesario documentarlo. </t>
  </si>
  <si>
    <t>Placard y P2
Tornillos del placard y arandela dentada. 
Incongruencias en el EQ</t>
  </si>
  <si>
    <t>Corregida LM, EQ y DE. DE en SAP, EQ y LM en proceso</t>
  </si>
  <si>
    <t>Corregido DE, EQ y LM. DE y LM en SAP, EQ en proceso</t>
  </si>
  <si>
    <t>04/02: Nuevos comentarios JAMP.
05/03 Subido a ICM con las correciones indicadas</t>
  </si>
  <si>
    <t xml:space="preserve">Añadir tornilleria para fijar paneles 43LE y 44LE.
60VU y 61VU ubicación incorrecta en el plano. 
Faltan las cubiertas en los espacios donde no hay panel. </t>
  </si>
  <si>
    <t>Multiples errores relativos a incongruencias en el EQ. Boton HIGH ALT LANDING.
Algunos errores en el DE. añadir tornillos y arandela dentada.</t>
  </si>
  <si>
    <t>Actualizada EQ a version A2, sin embargo. Pendiente definir que hacer con el boton ALT 
Subido a ICM la versión del botoón HIGH ALT: EQ-A3 y LM-A2</t>
  </si>
  <si>
    <t xml:space="preserve">RIGHT LATERAL PANEL </t>
  </si>
  <si>
    <t xml:space="preserve">Multiples errores relativos a incongruencias en el EQ. 15HC sin pines, falta cable AWG24, referencia a tornillo de tierra que no existe. Falta un terminal para conectar con el tornillo de tierra. 
Añadir tornillos del placard y quitar clemas y demas. Eliminar los dos botones que se han desinstalado. Añadir arandela dentada. </t>
  </si>
  <si>
    <t xml:space="preserve">Resuelto. Pendiente finalizar unidad para actualizar documentación.
Versión definitiva EQ-A2 y DE-A1 subida a ICM </t>
  </si>
  <si>
    <t>Tornillos del placard y arandela dentada en tornillo de tierra. 
Sobra una señal en el casqueillo de la pagina2/3- 12CC1.8</t>
  </si>
  <si>
    <t>Versión definitiva EQ-A2 y DE-A1 subida a ICM</t>
  </si>
  <si>
    <t xml:space="preserve">Tornillos del placard y arandela dentada en tornillo de tierra. 
Pendiente modificar entrada +5VDC y RTN en casquillos. </t>
  </si>
  <si>
    <t>Pendiente comprobar actualizacion en SAP
Versión definitiva EQ-A1 y DE-A1 en SAP</t>
  </si>
  <si>
    <t>SYSTEM PANEL</t>
  </si>
  <si>
    <t>Multiples errores relativos a incongruencias en el EQ. 
 En el DE aparecen mecanizados que luego no se utilizan y faltan indicar que es necesario retirar algunos elementos. Tornillos y la arandela dentada. 
ueva version de la LM para añadir tornillos del placard y la arandela dentada.</t>
  </si>
  <si>
    <t>Actualizar EQ en SAP. 
Versión definitiva EQ-A2 y DE-A2 en SAP</t>
  </si>
  <si>
    <t>PASSENGER ADRESS PANE</t>
  </si>
  <si>
    <t xml:space="preserve">Añadir tornillos del placard y arandela dentada. </t>
  </si>
  <si>
    <t>Pendiente comprobar actualizacion en SAP
Versión definitiva EQ-A1 en SAP</t>
  </si>
  <si>
    <t xml:space="preserve">Tornillos del placard y arandela dentada en tornillo de tierra
Multiples errores relativos a incongruencias en el EQ. </t>
  </si>
  <si>
    <t>Versión definitiva EQ-A3 subida a ICM y DE-A1 en SAP</t>
  </si>
  <si>
    <t xml:space="preserve">Hay un rele H45 en la LM que no aparece en el EQ. Tornillos y arandela. 
Rl2.8 y Rl1.8. +5Vdc. D casquillo. P2.7. Tornillos y arandela. </t>
  </si>
  <si>
    <t>Resuelto. Pendiente finalizar unidad para actualizar documentación. 
Versión definitiva EQ-A2 subida a ICM y DE-A1 en SAP</t>
  </si>
  <si>
    <t xml:space="preserve">HYD/FUEL PANEL </t>
  </si>
  <si>
    <t>Multiples errores relativos a incongruencias en el EQ.
Eliminar clemas, asas y demas. Añadir los tornillos del placard y la arandela</t>
  </si>
  <si>
    <t>Resuelto. Pendiente finalizar unidad para actualizar documentación. 
Versión definitiva EQ-A2 subida a ICM</t>
  </si>
  <si>
    <t xml:space="preserve"> Etiqueta de la señal RTN y el nombre del prep, aparece miguel pero es angel. 16RN,13 y cables N/AWG24. Añadir indicacion de tornillos del placard y arandela dentada. 
 Falta los tornillos del placard y la arandela dentada en LM</t>
  </si>
  <si>
    <t>Pendiente comprobar actualizacion en SAP</t>
  </si>
  <si>
    <t xml:space="preserve">Multiples incongruencias. Falta materiales. Pendiente de que finalice la instalación. Referencias fotofgraficas erróneas. </t>
  </si>
  <si>
    <t xml:space="preserve">Incluir tornillos de fijacion del panel luminoso y arandela dentada del tornillo de tierra. </t>
  </si>
  <si>
    <t>Versión definitiva DE-A1 en SAP</t>
  </si>
  <si>
    <t xml:space="preserve">conector 51LE. Tornillos y arandela. </t>
  </si>
  <si>
    <t xml:space="preserve">Pendiente que mecánica indique como montar el nuevo conector. 
Versión definitiva DE-A1 en SAP
</t>
  </si>
  <si>
    <t xml:space="preserve">Conector 51LE.  Tornillos y arandela. </t>
  </si>
  <si>
    <t>Pendiente que mecánica indique como montar el nuevo conector. 
Versión definitiva DE-A1 en SAP</t>
  </si>
  <si>
    <t xml:space="preserve">Tornillos y arandela. </t>
  </si>
  <si>
    <t>Versión definitiva LM-A1 en SAP</t>
  </si>
  <si>
    <t>FIRE ENGINE APU</t>
  </si>
  <si>
    <t xml:space="preserve"> LAS TARJETAS ESTAN CAMBIADAS DE UBICACIÓN. Conector 18FL-A sin identificar sus pines.
Arandela dentada. </t>
  </si>
  <si>
    <t>Versión definitiva EQ-A2 en ICM</t>
  </si>
  <si>
    <t>CONTROL-COCKPIT SYSTEM</t>
  </si>
  <si>
    <t>Arandela y tornillos.</t>
  </si>
  <si>
    <t>Versión definitiva EQ-A0 en SAP</t>
  </si>
  <si>
    <t>AUDIO CONNECTION FO</t>
  </si>
  <si>
    <t xml:space="preserve"> Identificar conectores y pines. Tornillo de tierra sin conexión.</t>
  </si>
  <si>
    <t>Versión definitiva EQ-A1 en SAP</t>
  </si>
  <si>
    <t>AUDIO CONNECTION CAPT</t>
  </si>
  <si>
    <t xml:space="preserve">No se detalla la ubicación exacta (cotas), no se identifica qué fijaciones se utiliza, si se usan las que trae el equipo o hay que acopiarlas. No se especifica si es necesario realizar mecanizados sobre la chapa. 
Deberia ser un DE. 
Se han servido 2. </t>
  </si>
  <si>
    <t>jgdelapena: 
Corregido
Ya instalado</t>
  </si>
  <si>
    <t>Actualizar documentación con la solución de la pieza 3D para la caperuza.</t>
  </si>
  <si>
    <t>Pendiente mecánica
Versión definitiva EQ-A1 en ICM</t>
  </si>
  <si>
    <t xml:space="preserve">Longitud cables, posicion LEDs, caperuza. </t>
  </si>
  <si>
    <t>Incluir en la LM los tornillos del placard. OJO no es el codigo INDRA CORRECTO. Modificar tambien 2 pines. Añadir arandela. 
Diferentes errores en EQ. Pines que no encajan en el conector. 
Añadir tornillos del placard, arandela y otras pequeñas correcciones en el DE</t>
  </si>
  <si>
    <t>Resuelto. Pendiente finalizar unidad para actualizar documentación. 
Versión definitiva EQ-A2 en ICM</t>
  </si>
  <si>
    <t>120VU C/B CABIN PANEL</t>
  </si>
  <si>
    <t>Faltan los tornillos de todos los elementos</t>
  </si>
  <si>
    <t>jgdelapena 09/09: Ya instalada</t>
  </si>
  <si>
    <t>REARC/B #1</t>
  </si>
  <si>
    <t>Faltan las fijaciones del placard al PANEL y los tapones para los C/B que no monta.</t>
  </si>
  <si>
    <t>jgdelapena 09/09:
¿Mecánica?</t>
  </si>
  <si>
    <t xml:space="preserve">REARC/B #2 </t>
  </si>
  <si>
    <t>REARC/B #3</t>
  </si>
  <si>
    <t>REARC/B #4</t>
  </si>
  <si>
    <t>Faltan las fijaciones del placard al PANEL</t>
  </si>
  <si>
    <t>REARC/B #5</t>
  </si>
  <si>
    <t xml:space="preserve">NO funciona, error en el diseño que imposibilita el funcionamiento del panel, pendiente ingenieria. </t>
  </si>
  <si>
    <t>jgdelapena 10/09/2025: 
Corregidos</t>
  </si>
  <si>
    <t>Las tarjetas Can tienen el mismo código indra, sin embargo son diferentes dado que cada una tiene una etiqueta diferente (sería necesario que cada una tuviese su propio código indra, con su correspondiente DE identificando la etiqueta que monta y LM).El plano es insuficiente para determinar que tarjeta va en cada conector.</t>
  </si>
  <si>
    <t>La tarjeta CAN va identificada con el ref designator A0101170… La que termine en 01 es la tarjeta identificada en el plano como A01 y así sucesivamente</t>
  </si>
  <si>
    <t xml:space="preserve">Referencias visuales erroneas de 39, 40, 41 y 42LE.
Detallar la conexión del 39 y 41L, así como del 40LE y 42LE. </t>
  </si>
  <si>
    <t>Se corrige documentacion, a falta de subir a SAP cuando se pruebe la unidad</t>
  </si>
  <si>
    <t xml:space="preserve">Página 1: Apenas se aprecia la ubicación de los componentes del CLS. En el DI del CLS (0973525170100.00) aparece una imagen mucho mejor. 
Detallar ubicación de la barra de tierra (cotas). Actualizar fotos según SN06. 
En la LM aparecen 3 sensores de humo y 3 de temperatura, esto no es correcto, según el plano actual se montan dos conjuntos de sensores de humo y temperatura, este conjunto tiene su propio código INDRA. En el plano aparece A31... sin embargo en la LM no. 
No aparece la ubicación exacta (cotas) de los equipos de humos y temperatura, tampoco aparece la tornilleria o los mecanizados necesarios. </t>
  </si>
  <si>
    <t>jgdelapena 09/09/2025: 
Corregido</t>
  </si>
  <si>
    <t xml:space="preserve">Ampliar ubicación de los equipos del rack en la primera página. 
En el plano hace referencia al cable A0202W18, A0204W02, A0204W01 sin embargo no aparece en la LM, considerar incluirlo, si no existe considerar definir un código indra para fabricar estos cables. 
Corregir la referencia de CB92165, lo correcto es CA92165
Etiqueta del A0204W02 erronea, revisar. 
En el CLS Power Distribution BOX no existe el X1-In, ese puerto ethernet no está en el equipo, considerar eliminar esa conexion en el plano. </t>
  </si>
  <si>
    <t>jgdelapena 09/09/2025: 
Nueva imagen en la nueva versión
Cables indicados no son de fabricación INDRA, son de MOOG
Corregido
Etiqueta corregida
Cambiado puerto ETH
Subido a ICM</t>
  </si>
  <si>
    <t>Eliminar H10 y H9 de la LM, del DM ya se ha eliminado.
Rediseñar la conexión USB del RTIA ASSY con el RTIO COM ASSY, añadiendo un pasamuros.
En el EQ las referencias topológicas no hacen referencia a la LM del rack, sin embargo si hacen referencia a la LM del Cable Set EEQ#1. Considerar incluir estos cables en la LM del rack y eliminar Cable Set EEQ#1, incluir en el EQ el cable H4.
No se especifica el enrutado del cableado del EQ.</t>
  </si>
  <si>
    <t xml:space="preserve">Detallar fijaciones y tornilleria de cada equipo. Ubicar las bolas topologicas de la tornilleria en su lugar correspondiente. </t>
  </si>
  <si>
    <t xml:space="preserve">Eliminar de la LM H44, se trata de velcro para atar cables con cunas para los perfiles de los aramrios, sin embargo no encajan en el perfil. H44 ni sirve ni es necesario para la instalación. </t>
  </si>
  <si>
    <t xml:space="preserve">Considerar instalar las regletas horizontalmente para no interferir con los equipos. </t>
  </si>
  <si>
    <t xml:space="preserve">Detallar en el plano eléctrico para que se usa W1 (5 metros cable Amarillo/Verde) y los 15 terminales H47. Esto he visto que ocurre para los 4 armarios embarcados. Si se va a acopiar el material para el tendido de las tierras en la LM de cada EEQ, considerar incluir en el EQ el diagrama de tierras correspondiente con su código y referenciado a la LM de cada armario. </t>
  </si>
  <si>
    <t>Versión actualizada LMA1 / DMA2</t>
  </si>
  <si>
    <t>Multiples errores e incongruencias. Referencias a unidades que no aparecen en la LM, etiquetas mal. Es necesario revisar en profundidad la documentación de esta unidad.</t>
  </si>
  <si>
    <t>Versión definitiva EQ-A1 y LM-A1 en ICM</t>
  </si>
  <si>
    <t>OVHP</t>
  </si>
  <si>
    <t>Multiples errores e incongruencias. Es necesario revisar en profundidad la documentación de esta unidad.</t>
  </si>
  <si>
    <t>Versión definitiva EQ-A2 y LM-A1 en ICM</t>
  </si>
  <si>
    <t xml:space="preserve">PANEL CARD 1 </t>
  </si>
  <si>
    <t>No aparecen los cables en la LM.</t>
  </si>
  <si>
    <t xml:space="preserve">Resuelto. Pendiente finalizar unidad para actualizar documentación. </t>
  </si>
  <si>
    <t>Pendiente version A2</t>
  </si>
  <si>
    <t>jgdelapena 10/09/2025: 
Corregido</t>
  </si>
  <si>
    <t>Multiples errores e incongruencias. Es necesario revisar en profundidad la documentación de esta unidad.
Algunos tornillos cortos, conector J2 con pines duplicados, faltan 20m de cable W2</t>
  </si>
  <si>
    <t>Versión definitiva EQ-A1 en ICM</t>
  </si>
  <si>
    <t xml:space="preserve">Multiples errores e incongruencias. Es necesario revisar en profundidad la documentación de esta unidad.
En la LM vienen 5 conectores pero aparecen 4 en la documentación. </t>
  </si>
  <si>
    <t xml:space="preserve">Indefinicion del ruteado de los mazos. </t>
  </si>
  <si>
    <t>Resuelto. Pendiente finalizar unidad para actualizar documentación. 
11/02: No se ha resuelto, sigue sin existir un plano con este código. Además se han añadido nuevos comentarios.
jgdelapena 10/09/2025: subido plano a ICM</t>
  </si>
  <si>
    <t xml:space="preserve">Bajo este código en SAP no hay ningun DI. Es necesario un diagrama de interconexión, referenciado a la LM y con el mismo código que el CABLE SET. 
Considerar incluir en la primera pagina del DI un diagrama con la ubicación de los elementos referenciados en el plano. 
Es necesario definir el enrutado de los cables, considerar crear un plano especifico (DE) para esto.
NOTA: Considerar eliminar esta OP, he incluir los cables afectados en la propia OP del EEQ#1. 
11/02: Los mazos de alimentación hacen referencia a ubicaciones concretas en la regleta (-01, -02, -03). Los conectores acodados instalados en estos mazos bloquean el espacio inmediatamente debajo, impidiendo la conexion tal y como se indica en el plano.
11/02: Considerar incluir la página 2/4 del EQ 0973525190000 donde se hace referencia al etiquetado de las regletas en el D del armario 1. 
11/02: Revisar el mazo A0201W07 y la regleta A040503, parece que no va nada conectado a esta regleta, considerar si se puede eliminar.  </t>
  </si>
  <si>
    <t xml:space="preserve">Incluir backshell en todos los extremos. Revisar la manguera, demasiado rigida, no entra bien en el conector y la presilla no pisa la funda. </t>
  </si>
  <si>
    <t xml:space="preserve">Incluir backshell en todos los extremos.
Revisar la manguera, demasiado rigida, no entra bien en el conector y la presilla no pisa la funda. </t>
  </si>
  <si>
    <t xml:space="preserve">Incluir backshell en todos los extremos.
Revisar longitud del cable, considerar eliminar hasta 3 metros. 
Revisar la manguera, demasiado rigida, no entra bien en el conector y la presilla no pisa la funda. </t>
  </si>
  <si>
    <t>Se han instalado en H1 y H2 etiquetas de 1/2"</t>
  </si>
  <si>
    <t>Considerar incluir en la primera pagina del DI un diagrama con la ubicación de los elementos referenciados en el plano. 
Es necesario definir el enrutado de los cables, considerar crear un plano especifico para esto.</t>
  </si>
  <si>
    <t>05/03 Subido a ICM DI con aclaracion de la ubicación de los elementos</t>
  </si>
  <si>
    <t>Faltan definir los colores de los cables en el EQ.
Cable blanco AWG 20 insuficiente en la LM. 
Eliminar de la LM y EQ los pines, ya vienen servidos con los conectores
Considerar incluir backshell en los 3 extremos. 
Considerar reducir 2 metros en el extremo W002.P01
11/02: ¿para qué se utiliza los 53 metros de AWG18?</t>
  </si>
  <si>
    <t>Versión definitiva EQ-A1 en ICM.
11/02: Es necesaria nueva LM donde se actualice, backshell, y longitud de los cables.
11/02: El mazo sigue tiendo en el EQ la misma longitud. 
05/03 subido a ICM LM y EQ con las modificaciones indicadas</t>
  </si>
  <si>
    <t xml:space="preserve">Longitud de cable insuficiente en la LM. Revisar. 
Eliminar de la LM y EQ los pines, ya vienen servidos con los conectores
Considerar incluir backshell en los 4 extremos. </t>
  </si>
  <si>
    <t xml:space="preserve">Versión definitiva EQ-A1 y LM-A1 en SAP
12/02: Siguen apareciendo los pines tanto en la LM como en el EQ. No se han incluido los backshell.
05/03 Subido a ICM EQ y LM con las correciones indicadas </t>
  </si>
  <si>
    <t>Eliminar de la LM y EQ los pines, ya vienen servidos con los conectores
Considerar incluir backshell en los 4 extremos. 
Considerar reducir 2 metros en los extremo W005.P02,  W005.P03 y  W005.P04.</t>
  </si>
  <si>
    <t>05/03 Subido a ICM EQ y LM con las correciones indicadas</t>
  </si>
  <si>
    <t>W006 - CABLE PD/CABINA</t>
  </si>
  <si>
    <t xml:space="preserve">Eliminar de la LM y EQ los pines, ya vienen servidos con los conectores
Considerar incluir backshell en los 4 extremos. 
Eliminar de la EQ los Spares o detallar que hacer con ellos. </t>
  </si>
  <si>
    <t xml:space="preserve">Eliminar de la LM y EQ los pines, ya vienen servidos con los conectores
Considerar incluir backshell en los 3 extremos. 
Añadir en el EQ los colores de los cables apantallados y trenzados.
Eliminar de la EQ los Spares o detallar que hacer con ellos. </t>
  </si>
  <si>
    <t xml:space="preserve">Considerar incluir en la primera pagina del DI un diagrama con la ubicación de los elementos referenciados en el plano. 
Es necesario definir el enrutado de los cables, considerar crear un plano especifico para esto.
En la version A0, estan cambiados los cables W013 y W014. </t>
  </si>
  <si>
    <t>W010 - CABLE PD/CABINA</t>
  </si>
  <si>
    <t>Eliminar de la LM y EQ los pines, ya vienen servidos con los conectores
Considerar incluir backshell en los 2 extremos. 
Considerar reducir la longitud 2 m.
Considerar revisar los saltos de AWG18 a AWG20 en la misma linea.</t>
  </si>
  <si>
    <t>Para este simulador no se añaden backshell, y salto de AWG necesario. Resuelto. Pendiente finalizar unidad para actualizar documentación. Se manda codificar el P/N backshel para sn07</t>
  </si>
  <si>
    <t>W012 - CABLE PD/CABINA</t>
  </si>
  <si>
    <t>Eliminar de la LM y EQ los pines, ya vienen servidos con los conectores
Considerar incluir backshell en los 2 extremos. 
Considerar reducir la longitud 1,8 m.
Considerar revisar los saltos de AWG18 a AWG20 en la misma linea.</t>
  </si>
  <si>
    <t>Para este simulador no se añaden backshell, y salto de AWG necesario. Resuelto. Pendiente finalizar unidad para actualizar documentación. Codificando backshell para sn07</t>
  </si>
  <si>
    <t>W013 - CABLE PD/CABINA</t>
  </si>
  <si>
    <t>Eliminar de la LM y EQ los pines, ya vienen servidos con los conectores
Considerar incluir backshell en los 4 extremos. 
Hay cables donde no se referencia el tipo que es.
Revisar la longitud, segun la instalación sobran 1,7 metros del cable central. 
Las etiquetas de P3 y P4 están mal en la versión A2 (A01010506)
Considerar revisar los saltos de AWG18 a AWG20 y a AWG22en la misma linea.</t>
  </si>
  <si>
    <t>W014 - CABLE PD/CABINA</t>
  </si>
  <si>
    <t>Eliminar de la LM y EQ los pines, ya vienen servidos con los conectores
Considerar incluir backshell en los 2 extremos. 
Considerar reducir la longitud 1,7 m del cable central.
Considerar revisar los saltos de AWG18 a AWG20 en la misma linea.</t>
  </si>
  <si>
    <t>Considerar incluir en la primera pagina del DI un diagrama con la ubicación de los elementos referenciados en el plano. 
Referencia erronea en el RIGHT READING .. (A01011116-54VU)
Referencia erronea en el LEFT READING .. (A01011115-54VU)
W026: Especificar la conexión de 39LE y 40LE. A ambos equipos le llegan dos faston, especificar cual conecta en 1, 2 o 3. Indicación de diseño: 1 al blanco y 2 al negro
Es necesario incluir las fijaciones del conector de panel W025.P02. Incluir también plano con detalle de los mecanizados necesarios para fijar el conector. 
Pagina 5/5 referencias erronea al C/B CABIN PANEL (A010117), aparece como OVERHEAD. 
Es necesario definir el enrutado de los cables, considerar crear un plano especifico para esto.</t>
  </si>
  <si>
    <t>05/03 Subido a ICM DI con las modificaciones indicadas</t>
  </si>
  <si>
    <t>W022 - CABLE PD/CABINA</t>
  </si>
  <si>
    <t>Eliminar de la LM y EQ los pines, ya vienen servidos con los conectores
Considerar incluir backshell en los 4 extremos. 
W022.P03 revisar la longitud de este extremo, considerar eliminar 1metro. 
En este mazo el conector P3 no cuenta con las letras L y M</t>
  </si>
  <si>
    <t>Versión definitiva EQ-A4 en ICM</t>
  </si>
  <si>
    <t xml:space="preserve">Eliminar de la LM y EQ los pines, ya vienen servidos con los conectores
Considerar incluir backshell en los 6 extremos. 
W023.P4 etiqueta erronea (A01011116).
W023.P04 revisar la longitud de este extremo, considerar eliminar 50cm. 
Eliminar de la EQ los Spares o detallar que hacer con ellos. 
Considerar incluir el puente del mazo W985 dentro de esta fabricación. </t>
  </si>
  <si>
    <t xml:space="preserve">Eliminar de la LM y EQ los pines, ya vienen servidos con los conectores.
W024.P4 etiqueta erronea (A01011115)
Considerar incluir backshell en los 6 extremos. 
Cambiar cable apantallado por cable trenzado en la LM. 
Eliminar de la EQ los Spares o detallar que hacer con ellos. 
Considerar incluir el puente del mazo W983 dentro de esta fabricación. </t>
  </si>
  <si>
    <t xml:space="preserve">Eliminar de la LM y EQ los pines, ya vienen servidos con los conectores
Considerar incluir backshell en los 6 extremos. 
Cambio tamaño de varias etiquetas.
Eliminar de la EQ los Spares o detallar que hacer con ellos. 
Considerar incluir el puente del mazo W984 dentro de esta fabricación. </t>
  </si>
  <si>
    <t>Versión definitiva EQ-A1 y LM-A2 en SAP</t>
  </si>
  <si>
    <t>Eliminar de la LM y EQ los pines, ya vienen servidos con los conectores
Considerar incluir backshell en los extremos. 
Referencia al PIN Q (no existe) se cambia por #v</t>
  </si>
  <si>
    <t>Versión definitiva EQ-A3 y LM-A1 en SAP</t>
  </si>
  <si>
    <t xml:space="preserve">Eliminar de la LM y EQ los pines, ya vienen servidos con los conectores
Considerar incluir backshell en los extremos. 
Pin 46 duplicado. Pines AWG12 con cables AWG16. </t>
  </si>
  <si>
    <t xml:space="preserve">Incongruencias con W036 y W040. Ademas no se indican los colores de los cables. 
Pareceria que los conectores que van a los otros cables estan duplicados en la LM y no deberian aparecer. Revisar. </t>
  </si>
  <si>
    <t>Resuelto. Pendiente acabar unidad para subir documentacion a aSAP</t>
  </si>
  <si>
    <t>W423 - TRANSPORT DELAY</t>
  </si>
  <si>
    <t>Faltan colores de los cables
Revisar la longitud del cable, en la instalación se estima reducir en 3 metros los extremos W423.P2 y W423.P3</t>
  </si>
  <si>
    <t>W424 - DISPLAY PHD</t>
  </si>
  <si>
    <t>Faltan colores de los cables</t>
  </si>
  <si>
    <t>W425 - DU PHD</t>
  </si>
  <si>
    <t xml:space="preserve">Detallar fijaciones y tornillería de cada equipo. Ubicar las bolas topológicas de la tornillería en su lugar correspondiente
¿Dónde instalar H12? El AVICOM (A18) ya está instalado en el armario. Actualizar imagenes, no se corresponde con el equipo instalado. 
Los adaptadores H16 y H11, no estan etiquetados. Incluir detalle de los puertos donde conecta dentro del NUC TRAY ASSY. 
Detectores de humos y temp, no aparece detallada las fijaciones que necesita para instalar ambos sensores. ¿Van en voladizo sobre el carril? ¿solo sobre uno de los railes?
H13. ¿cómo fijarlo? Por el dibujo parece que va al carril DIN directamente.
RECOMENDACION: montar las regletas atacando desde los laterales en vez de frontalmente, permite una mayor facilidad de instalación de cables además del uso de conectores no acodados. 
Eliminar de la LM H44, se trata de velcro para atar cables, en esta OP no se montan cables, podemos considerar añadirlo en las OPs de los CABLE SET. Además 20 unidades es desproporcionado. 
Detallar el plano eléctrico para los que se usa W1 (5 metros cable Amarillo/Verde) y los 15 terminales H47. Esto he visto que ocurre para los 4 armarios embarcados. Si se va a acopiar el material para el tendido de las tierras en la LM de cada EEQ, considerar generar un EQ o DI con el diagrama de tierras correspondiente con su código y referenciado a la LM de cada armario. </t>
  </si>
  <si>
    <t>Actualizada versión LMA1 / DMA2</t>
  </si>
  <si>
    <t xml:space="preserve">Cable trenzado RyN se cambia por ByN
EL SUBD J2 tiene maximo 25 pines, en la documentacion hace referencia a 28, 29, 30…
El J5.19 se repite. </t>
  </si>
  <si>
    <t>Versión definitiva EQ-A3 en ICM</t>
  </si>
  <si>
    <t xml:space="preserve">Se recomienda poner etiquetas en las tarjetas para identificarlas. </t>
  </si>
  <si>
    <t>jgdelapena 10/09/2025: 
Código de otro proyecto, ya cerrado
Tarjetas ya instaladas
Identificadas en CABLE SET AVICOM (nueva versión)</t>
  </si>
  <si>
    <t xml:space="preserve">Considerar rehacer el DM con el 3D. Definir ubicación exacta de componentes, mecanizados, fijaciones y etiquetas de los componentes. </t>
  </si>
  <si>
    <t>jgdelapena: 
Corregido</t>
  </si>
  <si>
    <t>0972825203200.00</t>
  </si>
  <si>
    <t xml:space="preserve">No se especifica como se fija el pc a la bandeja. </t>
  </si>
  <si>
    <t>jgdelapena 10/09/2025: 
Eliminar OP, el NUC TRAY ASSY tiene código 09735...</t>
  </si>
  <si>
    <t xml:space="preserve">Considerar incluir en la primera pagina del DI un diagrama con la ubicación de los elementos referenciados en el plano. 
Es necesario definir el enrutado de los cables, considerar crear un plano especifico para esto.
Revisar referencias (A020…) de las regletas. 
Considerar eliminar e incluir en la propia OP del armario 2. </t>
  </si>
  <si>
    <t xml:space="preserve">Falta backshell. La mangera es demasiado rigida y no permite la correcta instalación del conector shuko.
Etiqueta errónea. Hace referencia a la regleta del armario. No coincide destino y origen entre entiquetas. </t>
  </si>
  <si>
    <t>Etiqueta erronea, hace referencia a la regelta del armario 1. Sin embargo va al armario 2: A020212</t>
  </si>
  <si>
    <t>jgdelapena 09/09: 
Corregido</t>
  </si>
  <si>
    <t xml:space="preserve"> Las tarjetas del AVICOM no estan etiquetadas, no es posible identificar cual es cada una. El Di tiene mal el titulo. </t>
  </si>
  <si>
    <t>jgdelapena 09/09: Estaba bloqueado en ICM, se ha resubido con las correcciones indicadas</t>
  </si>
  <si>
    <t>W480 - CLS STOP</t>
  </si>
  <si>
    <t>Corto</t>
  </si>
  <si>
    <t xml:space="preserve">Los colores del EQ no se corresponden con los colores de cable acopiado. </t>
  </si>
  <si>
    <t>- No se indica la ruta de los cables en el plano. 
- W091, W092 y W093 aparentemente son cortos según la ruta que ha estimado producción. 
- Siguiendo el plano y el etiquetado los conectores no conectan, parece ser que están cambiados origen y destino.
- W091 tiene ambos conectores verdes. ¿es correcto? El resto de los mazos lleva instalados conectores negros. 
- W092 tiene un cable dañado. El uso de Back Shell previene este tipo de incidentes. 
- Falta indicar donde está PD1 y PD2 en la pagina 1.</t>
  </si>
  <si>
    <t>jgdelapena: 
Mazos instalados
Cable set subido de versión con locaclización PD1,PD2</t>
  </si>
  <si>
    <t>W091 - CABLE AvDP/PD</t>
  </si>
  <si>
    <t xml:space="preserve">Cable aparentemente corto según la ruta que ha estimado producción. </t>
  </si>
  <si>
    <t>Versión definitiva LM-A1 en ICM</t>
  </si>
  <si>
    <t xml:space="preserve"> 14 metros de cable AWG24 para las pantallas de los cables apantallado. ¿es necesario tanto?</t>
  </si>
  <si>
    <t>W092 - CABLE AvDP/PD</t>
  </si>
  <si>
    <t>W093 - CABLE AvDP/PD</t>
  </si>
  <si>
    <t xml:space="preserve">Detallar fijaciones y tornilleria de cada equipo. Ubicar las bolas topologicas de la tornilleria en su lugar correspondiente. 
Eliminar de la LM H44, se trata de velcro para atar cables con cunas para los perfiles de los aramrios, sin embargo no encajan en el perfil. H44 ni sirve ni es necesario para la instalación. 
Considerar instalar las regletas horizontalmente para no interferir con los equipos. 
En el EQ las referencias topológicas no hacen referencia a la LM del rack, sin embargo si hacen referencia a la LM del Cable Set EEQ#1. Considerar incluir estos cables en la LM del rack y eliminar Cable Set EEQ. , donde aparecen algunas conexiones, fundamentalmente conexiones de potencia, no referencia a la LM. Considerar incluir en el EQ solo conexiones internas. 
ºRediseñar la conexión USB del RTIA ASSY con el RTIO COM ASSY, añadiendo un pasamuros. 
Detallar en el plano eléctrico para que se usa W1 (5 metros cable Amarillo/Verde) y los 15 terminales H47. Esto he visto que ocurre para los 4 armarios embarcados. Si se va a acopiar el material para el tendido de las tierras en la LM de cada EEQ, considerar incluir en el EQ el diagrama de tierras correspondiente con su código y referenciado a la LM de cada armario. </t>
  </si>
  <si>
    <t>jgdelapena: 
Corregido
Existe plano de tierras general
0973524430100 - CABLE SET GROUND</t>
  </si>
  <si>
    <t>0972823217000.00</t>
  </si>
  <si>
    <t>SWITCHES TRY ASSY</t>
  </si>
  <si>
    <t>No se especifican ni en la LM ni en el DE las fijaciones de los elementos a la bandeja.
No se especifica la ubicación de las fuentes de alimentación.</t>
  </si>
  <si>
    <t xml:space="preserve">jgdelapena 09/09: 
Código de otro proyecto (E7) cerrado
</t>
  </si>
  <si>
    <t>jgdelapena 09/09/2025: 
Corregido
Existe plano de tierras general
0973524430100 - CABLE SET GROUND</t>
  </si>
  <si>
    <t>EEQ4 DIST BOX</t>
  </si>
  <si>
    <t>Las mecánicas no son correctas.</t>
  </si>
  <si>
    <t>El hueco del FFIOS PANEL no es lo suficientemente profundo, el panel sobresale mucho mas que el resto.
Incluir tornilleria para fijar paneles y monitores.
En la LM solo aparece un monitor.
Considerar modificar los taladros de los soportes de los monitores para reutilizar la tornilleria que viene con el monitor. 
Las referencias topológicas del panel de usb y los monitores no coinciden entre la LM y el DM. 
No se detalla los mecanizados necesarios para instalar la IOS#1 LAMP</t>
  </si>
  <si>
    <t>jgdelapena 09/09: considerar hacer un plano mecánico con medidas de la mesa
Subido a ICM la última versión de la LM - A1</t>
  </si>
  <si>
    <t xml:space="preserve">Los laterales de la caja estan al descubierto, considerar hacer la caja cerrada. Revisar el elemento MP1 de la lista de materiales, no solo incluye la chapa si no el resto de conectores, por lo tanto se duplicarian. </t>
  </si>
  <si>
    <t>¿?
jgdelapena 10/09: 
Especificaciones de cambios, pf</t>
  </si>
  <si>
    <t xml:space="preserve">No encaja en la mesa. Necesita mecanizar las esquinas. </t>
  </si>
  <si>
    <t>0972825240800.00</t>
  </si>
  <si>
    <t>Seat Panel</t>
  </si>
  <si>
    <t xml:space="preserve">Es necesario etiquetar las conexiones A1, A2, B1, B2, C1 y C2. O almenos cuales son los módulos A, B y C. </t>
  </si>
  <si>
    <t>RESUELTO, sin impacto en la documentacion</t>
  </si>
  <si>
    <t xml:space="preserve">En el plano aparecen unas asas pero no vienen con el elemento ni en la LM. </t>
  </si>
  <si>
    <t>Se han servido 3 cajas, en total 12 elementos, son solo necesarios 3.</t>
  </si>
  <si>
    <t>H8 y H9 no aparecen en la LM, H7 no aparece en el EQ, H1 aparece x4 pero solo aparece una vez en el DM</t>
  </si>
  <si>
    <t>Resuelto. Diseño lanza nueva LM.</t>
  </si>
  <si>
    <t xml:space="preserve">los bloques no permiten la conexión de los cables, chocan entre si. </t>
  </si>
  <si>
    <t>Resuelto. Diseño lanza nuevo EQ.</t>
  </si>
  <si>
    <t xml:space="preserve">En el caso del MIPDP, blower, EXT USBs, los detectores de humos... incluir fijaciones y mecanizados si son necesarios.
Para el blower se han usado 4 tornillos 6x30, arandela y grove. </t>
  </si>
  <si>
    <t>jgdelapena 10/09: 
Corregido en la versión A2
Subida a ICM</t>
  </si>
  <si>
    <t xml:space="preserve">Considerar mejoras las indicaciones de ubicación en un DE (con cotas). La primera pagina del DM es innecesaria, se puede ubicar H01 en la pagina 2. </t>
  </si>
  <si>
    <t xml:space="preserve">La indicación del Cable SET Baseframe carece de utilidad. Considerad poner una nota para aquellos elementos que pese a pertenecer a la LM, no requieren instalacion o no tienen una ubicación concreta como pueden ser los CABLE SET. </t>
  </si>
  <si>
    <t>¿?
jgdelapena 10/09:
Se ha subido nueva versión de planos, revisar si incidencias BASEFRAME están resueltas con la nueva versión  A2</t>
  </si>
  <si>
    <t>Las regeltas A05, no aparecen en el DM. Considerar poner una nota como para el cable SET o incluir eliminar él código 0973525300500 y ubicar las regletas dentro del código del baseframe así como el DE correspondiente.</t>
  </si>
  <si>
    <t>La conexión de la LAMP IOS#1 está duplicada. </t>
  </si>
  <si>
    <t>jgdelapena 29/09/2025: 
Se elimina el duplicado</t>
  </si>
  <si>
    <t>Eliminar la regleta A040512 y su conexión con A0412, se ha rediseñado para que no sea necesario esta conexión.</t>
  </si>
  <si>
    <t>jgdelapena 29/09/2025: 
NO se elimina regleta, pues se va a emplear para el cableado A04W22, A04W23</t>
  </si>
  <si>
    <t>Considerar rediseñar las conexiones de potencia de la la IOS para evitar la fabricación de W06, W05 y W20, y evitar tener que rutear por la cadena de la IOS estos cables. Considerar incluir una regleta o un box de interconexión suficientemente cerca de la IOS para que lleguen los cables sin necesidad de alargadores o modificaciones que tengan que pasar por la cadena.</t>
  </si>
  <si>
    <t>¿?</t>
  </si>
  <si>
    <t>Diferentes incongruencias con los cables</t>
  </si>
  <si>
    <t>0973523305100.00</t>
  </si>
  <si>
    <t>Revisar. Multiples incongruencias</t>
  </si>
  <si>
    <t xml:space="preserve">Considerar incluir en la primera pagina del DI un diagrama con la ubicación de los elementos referenciados en el plano. 
Es necesario definir el enrutado de los cables, considerar crear un plano especifico para esto.
Incluir tornilleria para fijar los conectores de panel (por cada taladro: tornillo 3x16 DIN965, 2 arandelas planas, 1 arandela growe, 1 tuerca)
W036.P07 el conector de destino es 2188VCA
W038.P02 - En la unidad de destino no aparece la referencia 51CVA. Aparecen dos conectores A y B. Se ha instalado en el A.
Revisar todas las referencias A0... del W039 que aparecen en el DI, la mayoria son incorrectas. Considerar incluir la referencia de los conectores de las unidades VCA...
W070 revisar los destinos de P07, P08 y P09, son confusos e incorrectos. P07 - 1GCA. P08 - 2189VCA y P09-2197VCA. tambien revisar la referencia del SIDESTICK CAPT.  </t>
  </si>
  <si>
    <t>jgdelapena 09/09: 
Indicar los paneles que necesitan tornillería para los conectores, pues irá en la unidad, no en el cable
MECÁNICA
W039 corregido
W070 no está, no existe el cable</t>
  </si>
  <si>
    <t xml:space="preserve">Incongruencias con el W421.
Considerar incluir backsheel en todos los extremos. </t>
  </si>
  <si>
    <t>Resuelto. Pendiente finalizar unidad para actualizar documentación. Codificando backshell sn07</t>
  </si>
  <si>
    <t xml:space="preserve">Considerar incluir el puente del mazo W985 dentro de esta fabricación. 
Cambio tamaño de varias etiquetas y color de los cables.
Comprobar y quitar pines duplicados. 
Considerar incluir backsheel en todos los extremos. </t>
  </si>
  <si>
    <t>Pendiente comprobar que se ha actualizado la documentación en SAP. Codificando backshel para sn07</t>
  </si>
  <si>
    <t xml:space="preserve"> Cambio tamaño de varias etiquetas y texto de etiqeutas
Considerar incluir backsheel en todos los extremos. 
Revisar longitud de los extremos W039,P10 (+30cm), W039,P01 (+50cm), W039,P05 (-2m), W039,P03 (-1m), W039,P02 (-1m), W039,P04 (-0,8m), </t>
  </si>
  <si>
    <t xml:space="preserve">Incongruencias con el 421
Considerar incluir backsheel en todos los extremos. 
Revisar etiqueta de P07. </t>
  </si>
  <si>
    <t xml:space="preserve">Quitar pines sobrantes. 
Considerar incluir backsheel en todos los extremos. </t>
  </si>
  <si>
    <t>Codificando backshel para sn07</t>
  </si>
  <si>
    <t xml:space="preserve">W041 </t>
  </si>
  <si>
    <t xml:space="preserve">No aparece el conector P4 en la LM, en su lugar sale la caperuza. 
Considerar incluir el puente del mazo W987 dentro de esta fabricación. 
Considerar incluir backsheel en todos los extremos. </t>
  </si>
  <si>
    <t xml:space="preserve">Resuelto, pendiente acopio del conector. </t>
  </si>
  <si>
    <t>Considerar incluir backsheel en todos los extremos. 
Revisar longitud, considerar reducir 60 cm en W044. P02</t>
  </si>
  <si>
    <t xml:space="preserve">jgdelapena 09/09:
Solo hay un cable A04W03
Conexión LAMP IOS#1 correcta, eliminado el duplicado
W06, W07, W20 necesarios para alimentar los equipos. 
</t>
  </si>
  <si>
    <t>Hay dos cables con el mismo nombre A04W03 (uno va al IOS#1 LAMP y el otro al USB EXT IOS#1). Ambos con las mismas etiquetas.
Incluir la ubicación y fijaciones de los extremos P2 de los cables A04W06 y A04W05.</t>
  </si>
  <si>
    <t xml:space="preserve">Hay dos cables con el mismo nombre A04W03 (uno va al IOS#1 LAMP y el otro al USB EXT IOS#1)
Considerar incluir en la primera pagina del DI/EQ un diagrama con la ubicación de los elementos referenciados en el plano. Actualmente la imagen representada en la primera página carece de utilidad. 
La conexión de la LAMP IOS#1 está duplicada. 
Incluir la ubicacion y fijaciones de los extremos P2 de los cables A04W06 y A04W05. 
Es necesario definir el enrutado de los cables, considerar crear un plano especifico para esto.
Eliminar la regleta A040512 y su conexión con A0412, se ha rediseñado para que no sea necesario esta conexión.
Considerar rediseñar las conexiones de potencia de la la IOS para evitar la fabricación de W06, W05 y W20, y evitar tener que rutear por la cadena de la IOS estos cables. Considerar incluir una regleta o un box de interconexión suficientemente cerca de la IOS para que lleguen los cables sin necesidad de alargadores o modificaciones que tengan que pasar por la cadena. </t>
  </si>
  <si>
    <t xml:space="preserve">No se corresponde con el puente del A320 Sn06. Ubicaciones erroneas e insuficientemente detalladas. Falta tornilleria y fijaciones. </t>
  </si>
  <si>
    <t>CABLE SET PROCESSOR RACK #1</t>
  </si>
  <si>
    <t xml:space="preserve">Este código solo tiene LM. Es util? Considerar eliminarlo y poner a sus hijos dentro del padre. </t>
  </si>
  <si>
    <t>CABLE SET DACS PROCESSOR RACK #1</t>
  </si>
  <si>
    <t>EMERGENCY STOP PANEL</t>
  </si>
  <si>
    <t xml:space="preserve">No se especifica la ubicación del los elementos. </t>
  </si>
  <si>
    <t>0973525390000.00</t>
  </si>
  <si>
    <t xml:space="preserve">Documentación insuficiente, faltan fijaciones y localizaciones exactas. </t>
  </si>
  <si>
    <t>jgdelapena 29/09/2025: 
Se elabora un EQ y Manual HW de instalación basado en la documentación de fabricante</t>
  </si>
  <si>
    <t>Sin documentación</t>
  </si>
  <si>
    <t>jgdelapena 29/09/2025:
Generado un DM, EQ, y un HW Manual para el aire acondicionado</t>
  </si>
  <si>
    <t xml:space="preserve">Documentacion insuficiente, no se detalla la ubicación de los elementos. </t>
  </si>
  <si>
    <t>jgdelapena  29/09: 
DACS</t>
  </si>
  <si>
    <t>Se recomienda para próximas versiones usar conectores acodados para los extremos P2 y P3 del cable W303.</t>
  </si>
  <si>
    <t>jgdelapena 10/09: 
Especificaciones en lo relativo a instalaciones de bahía se determinan insitu, en el caso de que el simulador se traslade, plano queda inservible</t>
  </si>
  <si>
    <t xml:space="preserve">Incluir el enrutado de los mazos. </t>
  </si>
  <si>
    <t xml:space="preserve">W360 - </t>
  </si>
  <si>
    <t xml:space="preserve">Imposible fabricar. Calmp muy pequeño. </t>
  </si>
  <si>
    <t>jgdelapena 29/09/2025:
Cable ya instalado</t>
  </si>
  <si>
    <t>0973545037400</t>
  </si>
  <si>
    <t>W374</t>
  </si>
  <si>
    <t>No aparece en la LM los materiales para fabricar el mazo W374-02.
La pagina 3/3 hace referencia a la instalación, considerar eliminarla e incluir esa información en el DI del padre. CABLE SET FIRE DETECTION.</t>
  </si>
  <si>
    <t>0973545037500</t>
  </si>
  <si>
    <t>W375</t>
  </si>
  <si>
    <t>Etiqueta P4 Erronea.
No aparece en la LM los materiales para fabricar el ultimo mazo.
La pagina 3/3 hace referencia a la instalación, considerar eliminarla e incluir esa información en el DI del padre. CABLE SET FIRE DETECTION.</t>
  </si>
  <si>
    <t>CABLE SET COMMS DP</t>
  </si>
  <si>
    <t>jgdelapena 10/09: 
Subido nueva versión con el ruteado de cables</t>
  </si>
  <si>
    <t xml:space="preserve"> Los conectores vienen con letras en vez de con numeros como pone en la documentación. </t>
  </si>
  <si>
    <t>jgdelapena 11/09:
Incluido el ruteado de cables
Añadido W538 en la LM
Las etiquetas son las mismas, no es necesario corregir las LMs de los cables
A040504 ref correcta
Corregido conexión W526
LM subida a ICM
//
Entregados los planos a adalvarez para incluir más modificaciones 
//</t>
  </si>
  <si>
    <t>Incluir el enrutado de los mazos. 
W538 no aparece en la LM
Se ha eliminado la regleta A40512 y se ha conectado el W502 directamente al cuadro electrico del baseframe. 
W502, W512, W513 tienen etiquetas amarillas, el resto las tiene blancas. 
Pagina4/4, regelta A040504, revisar la referencia del nombre. 
El W526 va al 107L no al 110L.</t>
  </si>
  <si>
    <t xml:space="preserve">Diseño incorrecto, no permite la conexión con regleta. Conector y cable mal. </t>
  </si>
  <si>
    <t>jgdelapena 09/09: 
Versión A1 bloqueada en SAP, escrito a ing. componentes
10/09: 
Incidencia resuelta, subido a SAP versión A1 planos y LM</t>
  </si>
  <si>
    <t>jgdelapena 09/09: OP repetida</t>
  </si>
  <si>
    <t xml:space="preserve">Etiqueta 110L erronea en el extremo P1. Se ha cambiado por 107L. </t>
  </si>
  <si>
    <t>Se corrige el plano y se sube a SAP</t>
  </si>
  <si>
    <t xml:space="preserve">MOOG indica en su manual que este mazo sea apantallado. </t>
  </si>
  <si>
    <t xml:space="preserve">¿?
jgdelapena 10/09:
Se ha subido nueva versión de planos, revisar si incidencias relativas a CABLE SET GROUND están resueltas con la nueva versión </t>
  </si>
  <si>
    <t xml:space="preserve">Considerar incluir lo referido a los armarios embarcados dentro de su propia documentación y código INDRA.  DEJAR ESTA OP PARA LA INTERCONEXIÖN DE LAS BARRAS DE TIERRA.  Se aconseja que las conexiones a tierra de los conjunto o equipos se especifiquen dentro de la documentación de su fabricación. </t>
  </si>
  <si>
    <t>Unificar tipo de cable que se utiliza AWG12 y 4mm2. Así como los terminales.</t>
  </si>
  <si>
    <t xml:space="preserve">En el SN06 se ha instalado una barra central en el baseframe donde se conectan, pedales, left console, main instrumental, right console... Considerar incluirlo en la LM. </t>
  </si>
  <si>
    <t xml:space="preserve">Incluir conexión de la barra central con la barra izquierda del baseframe. </t>
  </si>
  <si>
    <t>Detallar donde se hacen las conexiones de tierra.</t>
  </si>
  <si>
    <t xml:space="preserve">Detallar que puntos son los de contacto con el chasis. </t>
  </si>
  <si>
    <t xml:space="preserve">Etiquetar los mazos con origen y destino, como el resto de cables. </t>
  </si>
  <si>
    <t xml:space="preserve">jgdelapena 10/09:
Se ha subido nueva versión de planos, revisar si incidencias relativas a CABLE SET GROUND están resueltas con la nueva versión </t>
  </si>
  <si>
    <t xml:space="preserve">Revisar el numero de terminales necesarios. </t>
  </si>
  <si>
    <t>Revisar la longitud del cable de 25mm2 (actualmente insuficiente)</t>
  </si>
  <si>
    <t xml:space="preserve">No se define la ruta de los cables. </t>
  </si>
  <si>
    <t xml:space="preserve">¿?
jgdelapena 10/09:
Se ha subido nueva versión de planos, revisar si incidencias relativas a CABLE SET GROUND están resueltas con la nueva versión </t>
  </si>
  <si>
    <t xml:space="preserve">Revisar las conexiones del motion. Incluir la conexión interna de tierra de cada pata. Detallar como hacer esta conexión, cada pata cuenta con 3 tornillos de tierra. </t>
  </si>
  <si>
    <t>jgdelapena 29/09: Display?</t>
  </si>
  <si>
    <t>CABLE SET VACUUM</t>
  </si>
  <si>
    <t>CABLE SET RELAYS CARD</t>
  </si>
  <si>
    <t>jgdelapena  29/09: 
Especificaciones en lo relativo a instalaciones de bahía se determinan insitu, en el caso de que el simulador se traslade, plano queda inservible</t>
  </si>
  <si>
    <t>jgdelapena 29/09: 
Especificaciones en lo relativo a instalaciones de bahía se determinan insitu, en el caso de que el simulador se traslade, plano queda inservible</t>
  </si>
  <si>
    <t>El clamp no sirve</t>
  </si>
  <si>
    <t>jgdelapena 10/09:
Hay una versión A1 con un clamp diferente</t>
  </si>
  <si>
    <t xml:space="preserve"> El clamp no sirve</t>
  </si>
  <si>
    <t>jgdelapena 10/09:
Incluido en versión A1, subido a ICM</t>
  </si>
  <si>
    <t>jgdelapena 10/09/2025: 
Identificaciones y sujecciones incluidas en la nueva versión</t>
  </si>
  <si>
    <t>jgdelapena 29/09:
Cables ya fabricados. Eliminar OP</t>
  </si>
  <si>
    <t xml:space="preserve">Incluir el enrutado de los mazos. 
Considerar revisar el diseño de las conexiones CAN (añadir conectores para los puentes, evitando la instalación in situ en cabina y facilitando las tareas de pruebas y mantenimiento). 
No se ha instalado H2 ni H1, considerar eliminarlo. </t>
  </si>
  <si>
    <t>Considerar eliminar, los cables ya estan incluidos en el padre de esta OP.</t>
  </si>
  <si>
    <t>jgdelapena 10/09:
Cables ya fabricados. Eliminar OP</t>
  </si>
  <si>
    <t xml:space="preserve">Los conectores ya vienen con pines. 
Eliminar " NOTA: A insertar en… " Genera confusión y no es necesario para la fabricación del mazo. 
Revisar longitud, considerar reducir 1 metro. 
En la LM aparecen 5METROS de cuerda, revisar esto, no es necesaria tanta cuerda. </t>
  </si>
  <si>
    <t xml:space="preserve">jgdelapena 29/09/2025: 
Subido nueva versión a ICM
Eliminada Nota, reducido 5m de cuerda a 2m. </t>
  </si>
  <si>
    <t xml:space="preserve">Los conectores ya vienen con pines. 
Eliminar " NOTA: A insertar en… " Genera confusión y no es necesario para la fabricación del mazo. 
En la LM aparecen 5METROS de cuerda, revisar esto, no es necesaria tanta cuerda. </t>
  </si>
  <si>
    <t xml:space="preserve">Añadir etiquetas (R, S, T)  de los cables sin conector. 
En la LM aparecen 5METROS de cuerda, revisar esto, no es necesaria tanta cuerda. 
Revisar longitud, considerar reducir 2 metros. 
El conector P1 ya viene con pines. 
Considerar eliminar NOTA 2 y definir medida exacta de los cables. </t>
  </si>
  <si>
    <t>jgdelapena 01/10/2025: 
Subido nueva versión a ICM
Eliminada Nota, reducido 5m de cuerda a 2m. 
Añadido H8 con etiquetas R,S,T</t>
  </si>
  <si>
    <t xml:space="preserve">Añadir etiquetas (R, S, T)  de los cables sin conector. 
En la LM aparecen 5METROS de cuerda, revisar esto, no es necesaria tanta cuerda. 
El conector P1 ya viene con pines. 
Considerar eliminar NOTA 2 y definir medida exacta de los cables. </t>
  </si>
  <si>
    <t>Versión definitiva LM-A1 y EQ-A2 en SAP</t>
  </si>
  <si>
    <t>P2 trae un conector de panel y debe ser aereo</t>
  </si>
  <si>
    <t>Versión definitiva LM-A2 y EQ-A3 en ICM</t>
  </si>
  <si>
    <t xml:space="preserve">P2 trae un conector de panel y debe ser aereo
El cable ha resultado corto, actualizar la longitud al menos a 7 metros. </t>
  </si>
  <si>
    <t xml:space="preserve">En la LM aparecen 5METROS de cuerda, revisar esto, no es necesaria tanta cuerda. 
El conector P1 ya viene con pines. 
Considerar eliminar NOTA 2 y definir medida exacta de los cables. </t>
  </si>
  <si>
    <t>Versión definitiva LM-A1 y EQ-A1 en ICM</t>
  </si>
  <si>
    <t>El conector P1ya viene con pines. 
P2 no aparece en la LMA0</t>
  </si>
  <si>
    <t>Versión definitiva LM-A0 y EQ-A0 en ICM</t>
  </si>
  <si>
    <t>Versión definitiva LM-A0 y EQ-A1 en SAP</t>
  </si>
  <si>
    <t>Casquillo, funda, conector…</t>
  </si>
  <si>
    <t>Versión definitiva LM-A1</t>
  </si>
  <si>
    <t xml:space="preserve">W930 </t>
  </si>
  <si>
    <t xml:space="preserve">W981 </t>
  </si>
  <si>
    <t xml:space="preserve">Cables BL/AWG20 , termo, etiqueta. </t>
  </si>
  <si>
    <t xml:space="preserve">Incluir cable BL/AWG20 y termo para proteger la resistencia. 
Incidir con una nota que la resistencia va soldada a los cables. 
Eliminar el conector, ya que este puente va instalado en el conector de otro mazo. 
NOTA!! Considerar eliminar esta unidad e incluir el puente dentro del mazo W024. </t>
  </si>
  <si>
    <t xml:space="preserve">Incluir cable BL/AWG20 y termo para proteger la resistencia. 
Incidir con una nota que la resistencia va soldada a los cables. 
Eliminar el conector, ya que este puente va instalado en el conector de otro mazo. 
NOTA!! Considerar eliminar esta unidad e incluir el puente dentro del mazo W025. 
</t>
  </si>
  <si>
    <t>Versión definitiva EQ-A2 en ICM
Falta subir la LM A2 con el cable Blanco AWG20</t>
  </si>
  <si>
    <t xml:space="preserve">W985 - Cables BL/AWG20 , termo, etiqueta. </t>
  </si>
  <si>
    <t xml:space="preserve">Incluir cable BL/AWG20 y termo para proteger la resistencia. 
Incidir con una nota que la resistencia va soldada a los cables. 
Eliminar el conector, ya que este puente va instalado en el conector de otro mazo. 
NOTA!! Considerar eliminar esta unidad e incluir el puente dentro del mazo W023. </t>
  </si>
  <si>
    <t xml:space="preserve">W986 - Cables BL/AWG20 , termo, etiqueta. </t>
  </si>
  <si>
    <t xml:space="preserve">W987 - Cables BL/AWG20 , termo, etiqueta. </t>
  </si>
  <si>
    <t xml:space="preserve">Incluir cable BL/AWG20 y termo para proteger la resistencia. 
Incidir con una nota que la resistencia va soldada a los cables. 
Eliminar el conector, ya que este puente va instalado en el conector de otro mazo. 
NOTA!! Considerar eliminar esta unidad e incluir el puente dentro del mazo W041. </t>
  </si>
  <si>
    <t xml:space="preserve">W988 - Cables BL/AWG20 , termo, etiqueta. </t>
  </si>
  <si>
    <t xml:space="preserve">Incluir cable BL/AWG20 y termo para proteger la resistencia. 
Incidir con una nota que la resistencia va soldada a los cables. 
Eliminar el conector, ya que este puente va instalado en el conector de otro mazo. 
NOTA!! Considerar eliminar esta unidad e incluir el puente dentro del mazo W037. </t>
  </si>
  <si>
    <t>W990</t>
  </si>
  <si>
    <t>Incluir cable BL/AWG20 y termo para proteger la resistencia. 
Incidir con una nota que la resistencia va soldada a los cables. 
Cambiar el conector y pines, ya que este puente monta un SUB-D</t>
  </si>
  <si>
    <t>No aparecen las fijaciones del A0216 (Extintor) ni los mecanizados necesarios. 
No aparecen las fijaciones del A0207 (monitor IOS#2) ni los mecanizados necesarios.
No aparecen las fijaciones de A0226, A0227, A0230, A0229 (interlocks) ni los mecanizados necesarios.
No aparecen las fijaciones de A0228 ni A0212 (Panel FIRE ALARM y CTRL EM PANEL) ni los mecanizados necesarios.
No aparecen las fijaciones de A0236, A0225, A0234, A0211</t>
  </si>
  <si>
    <t xml:space="preserve">Incluir la ubicación exacta y la tornillería que sujetan el detector de humos y el de temperatura. </t>
  </si>
  <si>
    <t xml:space="preserve">Incluir en la LM la tornillería que sujetan  FIRE ALARM PANEL a la pared. </t>
  </si>
  <si>
    <t xml:space="preserve">Incluir en la LM la tornillería que sujetan CTRL &amp; EM PANEL a la pared. </t>
  </si>
  <si>
    <t>Definir la ubicación exacta y la fijación de la pantalla del IOS#2 TFT</t>
  </si>
  <si>
    <t xml:space="preserve">Definir la ubicación exacta y las fijaciones de los interlocks. </t>
  </si>
  <si>
    <t>Información insuficiente, se muestra un plano de ubicación de los elementos pero no se aprecia tornilleria, fijaciones…</t>
  </si>
  <si>
    <t xml:space="preserve">No se especifica la ubicación del panel A020802 ni la tornilleria y mecanizados necesarios para fijarlo. </t>
  </si>
  <si>
    <t xml:space="preserve">jgdelapena 09/09:
Contiene un elemento hijo, con código INDRA. </t>
  </si>
  <si>
    <t>jgdelapena 11/09: Planos y LM acabados y enviados a ICM</t>
  </si>
  <si>
    <t>No aparecen las fijaciones del A31 ni su etiqueta (conjunto sensor humo y temperatura)</t>
  </si>
  <si>
    <t>0973524190100.00</t>
  </si>
  <si>
    <t>Se solicita el cambio de nombre para el codigo. Fakta definir la posicion final del mazo W423, 424 y W425
jgdelapena 09/09: Escrito a ingeniería de componentes para corregir el nombre</t>
  </si>
  <si>
    <t>Se solicita el cambio de nombre para el codigo. Fakta definir la posicion final del mazo W423, 424 y W425
jgdelapena 09/09: Escrito a ingeniería de componentes para corregir el nombre</t>
  </si>
  <si>
    <t>0972823216000.00</t>
  </si>
  <si>
    <t xml:space="preserve">ACTUATORS TRAY ASSY </t>
  </si>
  <si>
    <t>No se especifican ni en la LM ni en el DE las fijaciones de los elementos a la bandeja.
Las páginas 2 y 3 no aplican para el montaje en laboratorio de la bandeja, ninguno de los mazos a los que hacen referencia se incluye en la LM de la unidad en cuestión. 
Se recomienda para esta unidad generar un DE, ya que se trata de un montaje mecánico, no aplica un DI.</t>
  </si>
  <si>
    <t>0973525240300.00</t>
  </si>
  <si>
    <t xml:space="preserve">No encaja en la mesa. Se necesita mecanizar las esquinas para redondearlas. Considerar modificar el plano de la placa. </t>
  </si>
  <si>
    <t>Mecánica</t>
  </si>
  <si>
    <t>Considerar incluir en la primera pagina del DI un diagrama con la ubicación de los elementos referenciados en el plano. 
Es necesario definir el enrutado de los cables, considerar crear un plano especifico para esto.</t>
  </si>
  <si>
    <t xml:space="preserve">Actualizar planos del Baseframe para añadir los taladros necesarios para la instalación de las regletas. 
Añadir en la lista de materiales (0973525300500) fijaciones. Tustara 4TF30, grower, arandela plana y tornillo. 
Faltan etiquetas en los cables de las regletas. 
En la página 4/4 aparece la regleta A040512 con 3 conexiones, es de 5. 
Falta ubicación exacta de las regletas, el baseframe viene sin los taladros, faltan también las fijaciones. 3D y referencias fotograficas del E7.
Se ha decidido eliminar la regleta de LIGHTS
H7 de la LM para qué se utiliza? Considerar eliminarlo. 
PROPUESTA DE REDISEÑO: Considerar eliminar este código y ubicar las regletas dentro del códiog del baseframe.
PROPUESTA DE REDISEÑO: Considerar cambiar el diseño para evitar la diferencia en el calibre de los cables utilizados. Actualmente, estamos utilizando el cable de la regleta de 1,5 mm2 junto con el cable que viene del Power Rack de 2,5 mm2, sugiero que unifiquemos el calibre de los cables
</t>
  </si>
  <si>
    <t>Versión definitiva LMA1 DMA1</t>
  </si>
  <si>
    <t xml:space="preserve">Error en la etiqueta de P7, hace referencia a P8
Comprobar y quitar pines duplicados. 
Considerar incluir backsheel en todos los extremos. </t>
  </si>
  <si>
    <t>0971788271500</t>
  </si>
  <si>
    <t>AFTOUT EMO PLATE</t>
  </si>
  <si>
    <t>Seriagrafia indicada en el plano diferente a como se ha recibido la placa.</t>
  </si>
  <si>
    <t>jgdelapena 10/09/2025: 
Código de otro proyecto, ya cerrado</t>
  </si>
  <si>
    <t>0973545036000.00</t>
  </si>
  <si>
    <t>En la caja de interconexiones del baseframe (adjunto captura) la tapa de la caja no encaja correctamente, se necesita instalar un prensaestopa en el cable. Por otro lado, este cable no está rutado correctamente ya que se encuentra actualmete enrollado</t>
  </si>
  <si>
    <t xml:space="preserve">jgdelapena 29/09/2025: 
revisar correo adalvarezm 29/09. 
El cable está ruteado, pero no fijado a Baseframe. Es necesario que producción incluya el prensaestopas en la caja de XUQUER y fije el cable a la estructura. </t>
  </si>
  <si>
    <t>0973525030500
0973525060500</t>
  </si>
  <si>
    <t>HAND MIC SET</t>
  </si>
  <si>
    <t>17VU - D-0973525030500EQ00 A 3
16VU - D-0973525060500EQ00 A 3
En los planos se hace referencia a retirar la pletina marcada en rojo en el siguiente diagrama pero al quitarla sus puntos de anclaje quedan visibles en el panel.
¿Se ha pensado como cegarlos de nuevo? ¿Se posiciona un tornillo o remache para cegarlo? Quedamos a la espera de cómo proceder con dicha incidencia. 
Por otra parte, el diámetro del conector actual es de 43,2 mm.
Según plano, el mecanizado indicado es de 47 mm, Hablándolo con producción con una corona de 44 mm sería suficiente, teniendo en cuenta que este tipo de mecanizados suele resultar ligeramente mayor y permitiría la holgura necesaria para el correcto posicionamiento del conector en el panel. Valorar modificar el valor en el plano. </t>
  </si>
  <si>
    <t xml:space="preserve"> 16/02/2026 13:36:01</t>
  </si>
  <si>
    <t>FANTASMAR (50)</t>
  </si>
  <si>
    <t>Estimación duracion</t>
  </si>
  <si>
    <t>ID2</t>
  </si>
  <si>
    <t>A320 GTA6 HW (ETIQUETADO y Anotación de S/N)</t>
  </si>
  <si>
    <t>0973520000000AI00A_A2</t>
  </si>
  <si>
    <t>A320 GTA6 HW</t>
  </si>
  <si>
    <t>0973525010000DM00_A0
0973525010000LM00_A0</t>
  </si>
  <si>
    <t>NO APARECE</t>
  </si>
  <si>
    <t>23/01: No requiere trabajo (JAMP)
OP de instalación (0973525020000.00, 0973525170000.00)</t>
  </si>
  <si>
    <t>0973525020000DM00_A0
0973525020000LM00_A0</t>
  </si>
  <si>
    <t>ALTA</t>
  </si>
  <si>
    <t xml:space="preserve">29/08: Pendiente firmar por produccion el cierre de la OP. </t>
  </si>
  <si>
    <r>
      <rPr>
        <b/>
        <sz val="9"/>
        <color rgb="FF000000"/>
        <rFont val="Calibri"/>
        <family val="2"/>
        <scheme val="minor"/>
      </rPr>
      <t>OP de instalación</t>
    </r>
    <r>
      <rPr>
        <sz val="9"/>
        <color rgb="FF000000"/>
        <rFont val="Calibri"/>
        <family val="2"/>
        <scheme val="minor"/>
      </rPr>
      <t xml:space="preserve"> // La posición 01, 02 y 07 ya están instalados. La posición 03, 05 y 06 son elementos del KIT de Airbus que están en bahía.</t>
    </r>
  </si>
  <si>
    <t>0973520000000AI00_A0 0973525030500LM00_A0
0973525030500EQ00_A1</t>
  </si>
  <si>
    <t>28/01 Ingenieria indica que el cable ethernet no se conecta
24/10: En Parada Pendiente de Dirección  si montar std 2,0 o std 2,1. 
OP sin faltantes                                                                                                                  En la reunión que se mantuvo con Dirección, se indicó que se fabriquen los paneles del std 2.0, ante la falta de información que tenemos por parte de Airbus actualmente sobre cuándo recibiremos el kit de partes con los paneles del 2.1.</t>
  </si>
  <si>
    <t>Instalado</t>
  </si>
  <si>
    <t>0973520000000AI00_A0 0973525031000LM00_A0
0973525031000EQ00_A0</t>
  </si>
  <si>
    <t>24/01: No ha sido necesario realizar la instalación, los equipos ya venian instalados. 
OP con material acopio externo.</t>
  </si>
  <si>
    <t>24/01: No ha sido necesario realizar la instalación, los equipos ya venian instalados. 
OP con material acopio externo (Equipos instalados en cabina)</t>
  </si>
  <si>
    <t>28/05: Falta por instalar las mascaras y Hand microphone.
Pendiente H03, H04 y H06 (Materiales de acopio externo)
OP instalación.</t>
  </si>
  <si>
    <t>0973520000000AI00_A0 0973525060500LM00_A0
0973525060500EQ00_A1</t>
  </si>
  <si>
    <t>mgomez</t>
  </si>
  <si>
    <t>28/05: Faltan por instalar 2 Dus, los tornillos de fijacion y las tapas. 
20/02: Falta por instalar Dus</t>
  </si>
  <si>
    <t>0973520000000AI00_A0 0973525070100DE00_A0 0973525070100EQ00_A1 0973525070100LM00_A0</t>
  </si>
  <si>
    <r>
      <rPr>
        <sz val="9"/>
        <color rgb="FF70AD47"/>
        <rFont val="Calibri"/>
        <family val="2"/>
        <scheme val="minor"/>
      </rPr>
      <t xml:space="preserve">Entregado a Producción 1390700480200_BRAKE PRESSURE INDICATOR      </t>
    </r>
    <r>
      <rPr>
        <sz val="9"/>
        <color rgb="FF000000"/>
        <rFont val="Calibri"/>
        <family val="2"/>
        <scheme val="minor"/>
      </rPr>
      <t xml:space="preserve">                                                                                                Se ha instalado por completo a excepción del H3 (A0101050703)</t>
    </r>
  </si>
  <si>
    <t xml:space="preserve">0973520000000AI00_A0 0973525072400DE00_A0 0973525072400EQ00_A1 0973525072400LM00_A0 </t>
  </si>
  <si>
    <r>
      <rPr>
        <sz val="9"/>
        <color rgb="FF70AD47"/>
        <rFont val="Calibri"/>
        <family val="2"/>
        <scheme val="minor"/>
      </rPr>
      <t xml:space="preserve">OP INSTALACIÓN sin faltantes </t>
    </r>
    <r>
      <rPr>
        <sz val="9"/>
        <color rgb="FF000000"/>
        <rFont val="Calibri"/>
        <family val="2"/>
        <scheme val="minor"/>
      </rPr>
      <t xml:space="preserve">// Acopio externo 1390703580200_SIMULADOR ISIS P/A320 KIT de THALES, 0973525073300.00_CENTER INSTRUMENT PANEL LEFT Fabricado, OP finalizada.
</t>
    </r>
  </si>
  <si>
    <t>0973525073300EQ00_A0
0973525073300LM00_A0</t>
  </si>
  <si>
    <t xml:space="preserve">0973520000000AI00_A0 0973525071200DE00_A0 0973525071200EQ00_A1 0973525071200LM00_A0 </t>
  </si>
  <si>
    <t xml:space="preserve">OP en montaje sin faltantes. Se actualiza EQ.
14/11: OP en montaje con los siguientes faltantes:                                                                                                                                                                                                                                                                                                                                       30/09: Se corrige color del cableado y se cambia de version a A1
                                                                </t>
  </si>
  <si>
    <r>
      <rPr>
        <b/>
        <sz val="9"/>
        <color rgb="FFFF0000"/>
        <rFont val="Calibri"/>
        <family val="2"/>
        <scheme val="minor"/>
      </rPr>
      <t>15/12/2025 Falta en la documentacion el DATA OADING SELECTOR UNIT en la parte inferior izquierda</t>
    </r>
    <r>
      <rPr>
        <sz val="9"/>
        <color theme="1"/>
        <rFont val="Calibri"/>
        <family val="2"/>
        <scheme val="minor"/>
      </rPr>
      <t xml:space="preserve">
28/05: Faltan por instalar una MCDU y los tornillos. 
OP en montaje.
OP con material acopio externo.</t>
    </r>
  </si>
  <si>
    <t>0973520000000AI00_A0 0973525091300EQ00_A0 0973525091300LM00_A0</t>
  </si>
  <si>
    <t>0973520000000AI00_A0 0973525091400EQ00_A1 0973525091400LM00_A0</t>
  </si>
  <si>
    <t>Se han suministrado los tornillos. Pendiente resolver la pintura de la tierra.                                                                                                                            27-09 No hay tornillos para fijar el panel y hay dudas sobre quitar la pintura de la tierra.                                                                                                                  
OP sin faltantes</t>
  </si>
  <si>
    <t>0973520000000AI00_A0 0973525091800DE00_A0 0973525091800EQ00_A2 0973525091800LM00_A0</t>
  </si>
  <si>
    <t>0973520000000AI00_A0 0973525092100DE00_A0 0973525092100EQ00_A1 0973525092100LM00_A0</t>
  </si>
  <si>
    <t>0973520000000AI00_A0 0973525092300DE00_A0 0973525092300EQ00_A1 0973525092300LM00_A0</t>
  </si>
  <si>
    <t xml:space="preserve">OP en montje sin faltantes.                                                                               Plano corregido, Se añade MP2 código 0970785470500 cantidad= 2                                                                                                                                                                                                                                                                                                                                                                                                                                                                                                                                                                                                                                                                         Se actualiza la LM y la DE con la barra de sujecion necesaria para el equipo.                                                                                                                                           </t>
  </si>
  <si>
    <t>0973520000000AI00_A0 0973525092400DE00_A0 0973525092400EQ00_A1 0973525092400LM00_A0</t>
  </si>
  <si>
    <t>21-11 La mecánica no coincide y hay  dudas con 3 hilos del cableado.                                                                                                      OP en montaje sin faltantes.</t>
  </si>
  <si>
    <t>-09/03/2026 SIN DI EN SAP
-Ingeniería está revisando si tiene material suficiente para la modificación (Es un equipo real que Ingeniería tiene que modificar previamente y luego ya si se instalará). OP de instalación</t>
  </si>
  <si>
    <t>0973525100000DM00_A0
0973525100000LM00_A0</t>
  </si>
  <si>
    <t>Instalación finalizada.
OP con material acopio externo.</t>
  </si>
  <si>
    <t>0973520000000AI00_A0 0973525100100DE00_A0 0973525100100EQ00_A2 0973525100100LM00_A0</t>
  </si>
  <si>
    <r>
      <rPr>
        <sz val="9"/>
        <color rgb="FF000000"/>
        <rFont val="Calibri"/>
        <family val="2"/>
        <scheme val="minor"/>
      </rPr>
      <t xml:space="preserve">                                                                                                                                                                                                                                                                                                                                                                                  20/01: Entregado a Producción 0970785470800 - CARD SUPPORT 130VU</t>
    </r>
    <r>
      <rPr>
        <sz val="9"/>
        <color rgb="FF70AD47"/>
        <rFont val="Calibri"/>
        <family val="2"/>
        <scheme val="minor"/>
      </rPr>
      <t xml:space="preserve">                             </t>
    </r>
    <r>
      <rPr>
        <sz val="9"/>
        <color rgb="FF000000"/>
        <rFont val="Calibri"/>
        <family val="2"/>
        <scheme val="minor"/>
      </rPr>
      <t xml:space="preserve">                                                                                                                                                                                                  </t>
    </r>
  </si>
  <si>
    <t xml:space="preserve">0973520000000AI00_A0 0973525100200DE00_A0 0973525100200EQ00_A2 0973525100200LM00_A0 </t>
  </si>
  <si>
    <t xml:space="preserve">                                                                                                                                    20/01: Entregado a Producción 0970785470800 - CARD SUPPORT 130VU                                                                                                                                                                                                                                                                                                                                                                                                                                                                                                                                                      </t>
  </si>
  <si>
    <t>0973520000000AI00_A0
0973525110100EQ00_A1
0973525110100DE00_A0 0973525110100LM00_A0</t>
  </si>
  <si>
    <r>
      <rPr>
        <sz val="9"/>
        <color rgb="FF70AD47"/>
        <rFont val="Calibri"/>
        <family val="2"/>
        <scheme val="minor"/>
      </rPr>
      <t xml:space="preserve">21/07: SIN FALTANTES (Las tarjetas IF CAN se cogen de la que ya hay fabricada y el y separador exagonal se aprovisiona por RS. Entregado a Producción)
09/07: Material cargado nuevo en la LM, se saca de Cabanillas y se entrega a Producción.                                             </t>
    </r>
    <r>
      <rPr>
        <sz val="9"/>
        <color rgb="FF000000"/>
        <rFont val="Calibri"/>
        <family val="2"/>
        <scheme val="minor"/>
      </rPr>
      <t xml:space="preserve">                                                 02/07: Por incidencia de LM faltan</t>
    </r>
    <r>
      <rPr>
        <sz val="9"/>
        <color rgb="FF70AD47"/>
        <rFont val="Calibri"/>
        <family val="2"/>
        <scheme val="minor"/>
      </rPr>
      <t xml:space="preserve"> (Incidencia resuelta) 
</t>
    </r>
    <r>
      <rPr>
        <sz val="9"/>
        <color rgb="FF000000"/>
        <rFont val="Calibri"/>
        <family val="2"/>
        <scheme val="minor"/>
      </rPr>
      <t xml:space="preserve">1390702000000 SCREW/PLATES INST LIGHT CTR PEDEST Z210   En LM vienen 5 y se necesitan 6, Cargar 1 unidad más y servir
1214090011040 PIN CNC CIR #22D H AWG22-28 GOLD M39029  En LM vienen 70 y se necesitan 78, Cargar 8 unidades más y servir
1204090200020 CONTACTO MACHO AWG20 M39029/4-110    En LM vienen 8 y se necesitan 11, Cargar 3 unidades más y servir
OP en montaje.                                                                                                            * 0973525900000_IF CAN 11A-11S14 (De esta nueva central que hay que hacer Ingeniería no nos da tarjetas)
</t>
    </r>
  </si>
  <si>
    <t>0973520000000AI00_A0
0973525110100EQ00_A3
0973525110100DE00_A1 0973525110100LM00_A2</t>
  </si>
  <si>
    <t xml:space="preserve">12/11: PENDIENTE definir si cablear el boton HIGH ALT LANDING o montar nuevo placard. Pendiente OP de retrofit. 
'OP en montaje sin faltantes                                                                                                                  
24/09:  Se detecta que la unidad no esta configurada como seriable.
30/09: Nueva versión A2 con las correcciones de las etiquetas
</t>
  </si>
  <si>
    <t>0973520000000AI00_A0 0973525110200EQ00_A2 0973525110200DE00_A1 0973525110200LM00_A1</t>
  </si>
  <si>
    <t xml:space="preserve">OP en montaje sin faltantes. 
 Fecha entrega 27.11.2024)                                                                                                               25/11: Diseño modificado.                                                                         14/11: Pendiente eliminar dos botones.                                                                                                                  OP anterior 60004325
</t>
  </si>
  <si>
    <t>0973520000000AI00_A0 0973525110300EQ00_A2 0973525110300DE00_A0 0973525110300LM00_A0</t>
  </si>
  <si>
    <t>0973520000000AI00_A0 0973525110400DE00_A0 0973525110400EQ00_A2 0973525110400LM00_A0</t>
  </si>
  <si>
    <t>0973520000000AI00_A0 0973525110500EQ00_A2 0973525110500DE00_A0 0973525110500LM00_A0</t>
  </si>
  <si>
    <t>OP en montaje sin faltantes                                                                                                                      OP anterior 60004320
19/09: Se ha actualizado la version del EQ a A3. Impresa y entregada en laboratorio.
24/09:  Se detecta que la unidad no esta configurada como seriable.
27/09: La versión de la EQ es la A2, no la A3. En laboratorio tienen la A3, pero es errónea.</t>
  </si>
  <si>
    <t>0973520000000AI00_A0 0973525110600LM00_A0 0973525110600EQ00_A1</t>
  </si>
  <si>
    <t>0973520000000AI00_A0 0973525110700EQ00_A3 0973525110700DE00_A0 0973525110700LM00_A0</t>
  </si>
  <si>
    <t xml:space="preserve">OP en montaje sin faltantes                                                                                                               OP anterior 60004323
24/09 Se ha actualizado el EQ a la version A3.
24/09:  Se detecta que la unidad no esta configurada como seriable.
</t>
  </si>
  <si>
    <t>0973520000000AI00_A0 0973525110800EQ00_A1 0973525110800DE00_A1 0973525110800LM00_A1</t>
  </si>
  <si>
    <t xml:space="preserve">                                                                                                                                                                                                                                                                                                                     20/01: Entrgado a Producción 1390702000000 - SCREW/PLATES INST LIGHT CTR PEDEST Z210                                                                                                               
14/11: Se sube versión A1 del plano mecanico.      </t>
  </si>
  <si>
    <t>0973520000000AI00_A0 0973525110900EQ00_A1 0973525110900DE00_A0 0973525110900LM00_A0</t>
  </si>
  <si>
    <t>0973520000000AI00_A0 0973525111000EQ00_A0 0973525111000LM00_A0</t>
  </si>
  <si>
    <t>OP sin faltantes                                                                                                                      OP anterior 60004399
Ingeniería nos ha entregado el panel                                                                                 Calidad NOK faltan etiquetas en el panel</t>
  </si>
  <si>
    <t xml:space="preserve">Entregados a Producción.
* 1124510126100_ SWITCH MAGNETICO SPDT 28VDC 3A 200MA 
* 1124510125400_SWITCH MAGNETICO SPDT 28VDC 7.5A 200MA                                  </t>
  </si>
  <si>
    <t>0973520000000AI00_A0 0973525111200EQ00_A1 0973525111200DE00_A0 0973525111200LM00_A0</t>
  </si>
  <si>
    <t>OP anterior 60004326                                                                                                                                                                                                                             * El Panel con FIN NO. 50VU nos lo ha entregado Ingeniería.</t>
  </si>
  <si>
    <t>0973520000000AI00_A0 0973525111500EQ00_A2 0973525111500LM00_A1 0973525111500DE00_A1</t>
  </si>
  <si>
    <t xml:space="preserve">24/01: Entregado a Producción 1204101933620 -CNC CIR 14-19 19P (M) MS3470L14-19P y 1390702000000 - SCREW/PLATES INST LIGHT CTR PEDEST Z210 (PO 4200582270/00010 Fecha entrega 27.11.2024).                                                                      
13/11: Se modifica diseño que indica como montar el nuevo conector.
24/10 el conector que viene no tiene suficiente pines para cablear lo que indica el EQ                                                                                                                                                                                                                                           </t>
  </si>
  <si>
    <t>0973520000000AI00_A0 0973525111600EQ00_A2 0973525111600LM00_A1 0973525111600DE00_A1</t>
  </si>
  <si>
    <t>0973520000000AI00_A0 0973525111700EQ00_A1 0973525111700LM00_A0 0973525111700DE00_A0</t>
  </si>
  <si>
    <t>0973520000000AI00_A0 0973525112000DE00_A0 097352511200LM00_A0 0973525112000EQ00_A2</t>
  </si>
  <si>
    <t>0973520000000AI00_A0 0973525112300LM00_A1 0973525112300EQ00_A0</t>
  </si>
  <si>
    <t>24/07: Se está cableando la unidad de asunto, y creo que sería conveniente incluir una nota indicando que el ánodo del led es el pin dorado, y el cátodo el plateado en el EQ, para evitar confusiones
22-07 Ingenieria Hardware indica que hay que avellanar el panel por el interior para que asiente bien y no choque con los leds
12/05: Realizando una revisión de este esquema eléctrico me he dado cuenta de que tal y como está planteado, el LED se encendería con una intensidad muy baja.
Voy a realizar una serie de modificaciones tanto en los LEDS como en las resistencias de esta unidad. Ingenieria la deja de momento en 
OP modificada por diseño. Cargan nuevos materiales en la OP y se entregan a Producción.
7-02 La LM cargada es de octubre y hay una de enero con más materiales, aparte hay que retaladrar el panel
OP en montaje sin faltantes.</t>
  </si>
  <si>
    <t xml:space="preserve">0973525113000AI00_A0
0973525113000LM00_A0
0973525113000EQ00_A0
</t>
  </si>
  <si>
    <t xml:space="preserve">
OP sin faltantes
Ingeniería nos ha entregado el panel</t>
  </si>
  <si>
    <t xml:space="preserve">0973525113100AI00_A0
0973525113100LM00_A0
0973525113100EQ00_A0
</t>
  </si>
  <si>
    <r>
      <t xml:space="preserve">25/05: Pendiente de disponibilidad de la camara (la tiene el equipo de debriefing)
06/02: Pendiente definir como y donde se fija. Falta plano mecánico
Avisado a mecánica </t>
    </r>
    <r>
      <rPr>
        <b/>
        <sz val="9"/>
        <color rgb="FF000000"/>
        <rFont val="Calibri"/>
        <family val="2"/>
        <scheme val="minor"/>
      </rPr>
      <t>Alicia Niebla (aniebla) 06/02/2025</t>
    </r>
  </si>
  <si>
    <t>0973520000000AI00_A0 0973525139000EQ00_A1 
0973525139000DE00_A0 
0973525139000LM00_A1</t>
  </si>
  <si>
    <t xml:space="preserve">29/08: Falta la pegatina negra del tubo. 
</t>
  </si>
  <si>
    <t>0973520000000AI00_A0 0973525140000EQ00_A1 0973525140000DE00_A0 0973525140000LM00_A0</t>
  </si>
  <si>
    <t>0973520000000AI00_A0
0973525135000DM00_A0
0973525135000LM00_A0</t>
  </si>
  <si>
    <t>0973520000000AI00_A0 0973525140100LM00_A1 0973525140100EQ00_A0</t>
  </si>
  <si>
    <t>0973520000000AI00_A0 0973525140200LM00_A2 0973525140200EQ00_A1</t>
  </si>
  <si>
    <t>20/01: Entregado a Producción SWITCH // Ingeniería nos entrega las mecánicas.</t>
  </si>
  <si>
    <t>0973520000000AI00_A0 0973525140300LM00_A1 0973525140300EQ00_A0</t>
  </si>
  <si>
    <r>
      <rPr>
        <b/>
        <sz val="9"/>
        <color rgb="FFFF0000"/>
        <rFont val="Calibri"/>
        <family val="2"/>
        <scheme val="minor"/>
      </rPr>
      <t xml:space="preserve">15/12/2025: Falta etiqueta roja GLOVES segun planos </t>
    </r>
    <r>
      <rPr>
        <sz val="9"/>
        <color rgb="FF70AD47"/>
        <rFont val="Calibri"/>
        <family val="2"/>
        <scheme val="minor"/>
      </rPr>
      <t xml:space="preserve">
10/02: Se aprovisionan los faston de RS 245-5446     </t>
    </r>
    <r>
      <rPr>
        <sz val="9"/>
        <color rgb="FF000000"/>
        <rFont val="Calibri"/>
        <family val="2"/>
        <scheme val="minor"/>
      </rPr>
      <t xml:space="preserve">                                                                                                                               31/01: OP modificada por diseño y se carga unos nuevos faston.    </t>
    </r>
    <r>
      <rPr>
        <sz val="9"/>
        <color rgb="FFFF0000"/>
        <rFont val="Calibri"/>
        <family val="2"/>
        <scheme val="minor"/>
      </rPr>
      <t xml:space="preserve">                                                                                                                  </t>
    </r>
    <r>
      <rPr>
        <sz val="9"/>
        <color rgb="FF000000"/>
        <rFont val="Calibri"/>
        <family val="2"/>
        <scheme val="minor"/>
      </rPr>
      <t xml:space="preserve">   28/01: Se entrega a Producción el CBL FLEX 1XAWG24 cantidad 18 metros.                                                                                                            21/01 Los fastón acopiados no son aislados, no se indica el cable a utilizar y el acopi solo hay 2 metros de AWG24 blanco por lo que es insuficiente, no se indica por donde tiene que salir el mazo principal.</t>
    </r>
  </si>
  <si>
    <t>0973520000000AI00_A0 0973525140400LM00_A0 0973525140400EQ00_A0</t>
  </si>
  <si>
    <t>La mecánica nos la ha entregado Ingeniería.</t>
  </si>
  <si>
    <t>0973520000000AI00_A0 0973525140500LM00_A0 0973525140500EQ00_A0</t>
  </si>
  <si>
    <t>0973520000000AI00_A0 0973525140600EQ00_A1 0973525140600LM00_A0</t>
  </si>
  <si>
    <t>0973520000000AI00_A0 0973525140700EQ00_A1 0973525140700LM00_A0</t>
  </si>
  <si>
    <t>Op en montaje sin faltantes</t>
  </si>
  <si>
    <t>0973520000000AI00_A0 0973525140800EQ00_A1 0973525140800LM00_A0</t>
  </si>
  <si>
    <t>OP en montaje // 0918525900100_IF CAN CARD 11B-11S3 Ingeniería nos entrega las tarjetas definitivas.</t>
  </si>
  <si>
    <t>0973525150000DM00_A0 0973525150000LM00_A0</t>
  </si>
  <si>
    <t>OP finalizada
05/02: Pendiente instalar H09-H12, es necesario definir donde se conecta, hay 3 terminales y el cable tiene 2 conectores. 
OP instalación, carga materiales de acopio externo</t>
  </si>
  <si>
    <t>05/02: Viene instalado de Xuquer.
OP con material acopio externo (Asiento piloto y copiloto - En cabina).</t>
  </si>
  <si>
    <t xml:space="preserve">23/01: No queda claro que es necesario hacer en esta OP. Se han acopiado termo y etiquetas pero no hay DE con indicaciones. 
1390705221000_CL-R-E/1HD150/1HD50/1MD100/CDB/CLC/MW/GS (Kit de MOOG, en bahia) y 1238514252800_TERM PUNTERA P/CBL 2,5MM2 E-CU-PP GRIS tenemos en laboratorio.
</t>
  </si>
  <si>
    <t>0973520000000AI00_A0
0972828220000DE00_A0
0972828220000LM00_A0</t>
  </si>
  <si>
    <t>OP en montaje.</t>
  </si>
  <si>
    <t>0973525190000EQ00_A0
0973525190000DM00_A0
0973525190000LM00_A0</t>
  </si>
  <si>
    <r>
      <rPr>
        <b/>
        <sz val="9"/>
        <color rgb="FFFF0000"/>
        <rFont val="Calibri"/>
        <family val="2"/>
        <scheme val="minor"/>
      </rPr>
      <t xml:space="preserve">11/12/25: Falta etiqueta identificacion segun plano. 
Hay elemenentos con etiqueta INDRA con S/N y toda la informacion y otros con una etiqueta solo con el nombre y el A02__ Unificar el criterio. PD1 y PD2 segun plano lleva etiqueta Indra y no lo lleva.
El airflow sensor esta al lado del EEQ#2 pero identificado en el plano del EEQ#1. RTIO COM ASSY instalado no aparece en la LM. 
</t>
    </r>
    <r>
      <rPr>
        <sz val="9"/>
        <color rgb="FF000000"/>
        <rFont val="Calibri"/>
        <family val="2"/>
        <scheme val="minor"/>
      </rPr>
      <t xml:space="preserve">27/05: Falta etiquetas: OVHDP, PD1, PD2, ELECTRONIC EQUIPMENT #1 y Electric Shock (H9 - no se indica ubicación)
RTIO COM ASSY instalado sin calidad.
05/02: Faltan etiquetas.
28/02: Falta instalar: Air flow sensor (pendiente definir cómo se realiza la instalación). Falta etiquetas: OVHDP, PD1, PD2. RTIO COM ASSY instalado sin calidad.
20/12: Falata RTIO COM
OP instalación (RTIO ASSY, OVHDP, RTIO COM ASSY, PD#1, PD#2)                                           </t>
    </r>
  </si>
  <si>
    <t>0973520000000AI00_A0
0973525190100DE00_A0
0973525190100EQ00_A0
0973525190100LM00_A0</t>
  </si>
  <si>
    <t xml:space="preserve">13-02-25 En la lm no vienen topes de bornas y sin embargo vienen tapas que no se necesitan
28/01: OP modificada por diseño.                                                                         
12/02: Entregado a Producción CBL EQ USB2.0 A-M/B-M 480MBPS PVC L=3M (Se aprovisiona por CD)
</t>
  </si>
  <si>
    <t>0973520000000AI00_A0 0973525190300EQ00_A1 0973525190300DE00_A1 0973525190300LM00_A1</t>
  </si>
  <si>
    <t>Esta OP no tiene faltantes                                                                                                                                                                                                      0915437020000_VDIM CARD 400HZ 5VAC EQUIPADA (PPI) ENTREGADA</t>
  </si>
  <si>
    <t>0973530110000LM00_A0 0973530110000EQ00_A0</t>
  </si>
  <si>
    <t>Torrejón</t>
  </si>
  <si>
    <t>OP para realizar desde PPI (Para fabricar x3  0915437020000) //  Material enviado a la atención de Jorge  Varela  Tapia.</t>
  </si>
  <si>
    <t>0973525190600LM00_A1
0973525190600DM00_A1
0973525190600DE00_A1</t>
  </si>
  <si>
    <r>
      <rPr>
        <b/>
        <sz val="9"/>
        <color rgb="FFFF0000"/>
        <rFont val="Calibri"/>
        <family val="2"/>
        <scheme val="minor"/>
      </rPr>
      <t xml:space="preserve">15/12/2025: Falta H3, etiquetas de identificacion según planos.  H9 poe injector esta sujeto con vlecro y en el plano aparece con tornilleria. </t>
    </r>
    <r>
      <rPr>
        <sz val="9"/>
        <color rgb="FF000000"/>
        <rFont val="Calibri"/>
        <family val="2"/>
        <scheme val="minor"/>
      </rPr>
      <t xml:space="preserve">
OP en montaje.</t>
    </r>
  </si>
  <si>
    <t>0973530111000LM00_A0 0973530111000EQ00_A0</t>
  </si>
  <si>
    <t>0973530114000LM00_A0 0973530114000EQ00_A0</t>
  </si>
  <si>
    <t>0973530112000LM00_A0 0973530112000EQ00_A0</t>
  </si>
  <si>
    <r>
      <rPr>
        <b/>
        <sz val="9"/>
        <color rgb="FFFF0000"/>
        <rFont val="Calibri"/>
        <family val="2"/>
        <scheme val="minor"/>
      </rPr>
      <t xml:space="preserve">11/12/2025: Todos los cable set EEQ solo tienen una LM, cuando tienen un DI en el EEQ que deberia ir asociado a este cable set. Si mo esta orden no tiene sentido ya que no hay nada que inspeccionar. 
</t>
    </r>
    <r>
      <rPr>
        <sz val="9"/>
        <color rgb="FF000000"/>
        <rFont val="Calibri"/>
        <family val="2"/>
        <scheme val="minor"/>
      </rPr>
      <t xml:space="preserve">29/08: Pendiente firmar por produccion el cierre de la OP. </t>
    </r>
  </si>
  <si>
    <t xml:space="preserve">14/01 me traen backshell y se termina                                                            13/12: En cuanto al tamaño del cable y el back Shell, hasta que no llegue el de RS que se hizo por compra directa y se compruebe que vale, estos también se quedan parados. 02/12 Se ha montado lo posible pero la LM no tiene backshell y es de alimentación.                                                                                                                                     </t>
  </si>
  <si>
    <t xml:space="preserve">14/01 me traen backshell y se termina                                                 13/12: En cuanto al tamaño del cable y el back Shell, hasta que no llegue el de RS que se hizo por compra directa y se compruebe que vale, estos también se quedan parados. 02/12 Se ha montado lo posible pero la LM no tiene backshell y es de alimentación.                                                                                                                                     </t>
  </si>
  <si>
    <r>
      <rPr>
        <sz val="9"/>
        <color rgb="FF70AD47"/>
        <rFont val="Calibri"/>
        <family val="2"/>
        <scheme val="minor"/>
      </rPr>
      <t xml:space="preserve">24/01: Entregado a Producción CLAMP 1209994000021      </t>
    </r>
    <r>
      <rPr>
        <sz val="9"/>
        <color rgb="FF000000"/>
        <rFont val="Calibri"/>
        <family val="2"/>
        <scheme val="minor"/>
      </rPr>
      <t xml:space="preserve">                            13/12: En cuanto al tamaño del cable y el back Shell, hasta que no llegue el de RS que se hizo por compra directa y se compruebe que vale, estos también se quedan parados. 02/12 Se ha montado lo posible pero la LM no tiene backshell y es de alimentación.                                                                                                                                     </t>
    </r>
  </si>
  <si>
    <t xml:space="preserve">14/01 Me dan el clap y se termina  
17-12-24  El cable estaba terminado pero al instalar nos damos cuenta que no tiene Clamp </t>
  </si>
  <si>
    <t>No sirve</t>
  </si>
  <si>
    <t>0973524191400DI00_A0
0973524191400LM00_A0</t>
  </si>
  <si>
    <r>
      <rPr>
        <b/>
        <sz val="9"/>
        <color rgb="FFFF0000"/>
        <rFont val="Calibri"/>
        <family val="2"/>
        <scheme val="minor"/>
      </rPr>
      <t xml:space="preserve">10/12/2025 El cable W006 se llama W007 en su lugar. 
</t>
    </r>
    <r>
      <rPr>
        <sz val="9"/>
        <color rgb="FF000000"/>
        <rFont val="Calibri"/>
        <family val="2"/>
        <scheme val="minor"/>
      </rPr>
      <t>21/01: Instalación terminada.                                                                            07/01: Se han instalado los cables W002 y W005.
OP instalación mazos W002, 04, 05, 06, 07</t>
    </r>
  </si>
  <si>
    <t>W002 - CABLE PD/CABINA</t>
  </si>
  <si>
    <t>0973545000200EQ00_A0 0973545000200LM00_A0</t>
  </si>
  <si>
    <t>W004 - CABLE PD/CABINA</t>
  </si>
  <si>
    <t>0973545000400EQ00_A1 0973545000400LM00_A1</t>
  </si>
  <si>
    <t>W005 - CABLE PD/CABINA</t>
  </si>
  <si>
    <t xml:space="preserve">OP en montaje sin faltantes                                                                                                * 1214003233761 - CNC CIR  18-32  (32H)  MS3476L18-32SW (Entregado a Producción)
</t>
  </si>
  <si>
    <t xml:space="preserve">OP sin faltantes // Conector entregado a Producción                                                                           * 1214002633727 - CNC CIR 16-26  26P/H PLUG MS3476L16-26S </t>
  </si>
  <si>
    <t>W007 - CABLE PD/CABINA</t>
  </si>
  <si>
    <t>0973524191500DI00_A0
0973524191500LM00_A0</t>
  </si>
  <si>
    <r>
      <rPr>
        <b/>
        <sz val="9"/>
        <color rgb="FFFF0000"/>
        <rFont val="Calibri"/>
        <family val="2"/>
        <scheme val="minor"/>
      </rPr>
      <t xml:space="preserve">15/12/2025 Los cables W013 y W014 estan al reves en las etiquetas y en la documentación. Corregir documentación o etiquetas. </t>
    </r>
    <r>
      <rPr>
        <sz val="9"/>
        <color rgb="FF000000"/>
        <rFont val="Calibri"/>
        <family val="2"/>
        <scheme val="minor"/>
      </rPr>
      <t xml:space="preserve">
07/01: Se han instalado los cables W010, W013.  
</t>
    </r>
  </si>
  <si>
    <t>0973545001000LM00_A0 0973545001000EQ00_A1</t>
  </si>
  <si>
    <t>0973545001200LM00_A0 0973545001200EQ00_A1</t>
  </si>
  <si>
    <t>0973545001300LM00_A0 0973545001300EQ00_A2</t>
  </si>
  <si>
    <t>0973545001400LM00_A0 0973545001400EQ00_A0</t>
  </si>
  <si>
    <t>0973524190300DI00_A0 0973525110000DM00_A0 0973524190300LM00_A0</t>
  </si>
  <si>
    <t xml:space="preserve">08/01: Se ha instalado el W030. OP completada. 
07/01: Parada:Diseño. Pendiente por parte de ingenieria definir por donde va al cable W030. 
07/01: Se han instalado los cables W022, W023, W024, W025 y W026.
</t>
  </si>
  <si>
    <t>0973545002300EQ00_A3 0973545002300LM00_A0</t>
  </si>
  <si>
    <t>W023 - CABLE PD/CABINA</t>
  </si>
  <si>
    <t>17/10: Entregado el conector correcto (El conector 1214001933721 MS3476L14-19S ha venido mal, en su lugar hay otro. Se abre incidencia nº 337 y nos envían el correcto).</t>
  </si>
  <si>
    <t>W024 - CABLE PD/CABINA</t>
  </si>
  <si>
    <t>OP en montaje sin faltantes                                                                                                   * 1214003132620 - CNC CIR 18-31 31P (H) PLUG M83723/75R183 (Entregado a Producción)</t>
  </si>
  <si>
    <t>W025 - CABLE PD/CABINA</t>
  </si>
  <si>
    <t>0973545002500EQ00_A0 0973545002500LM00_A1</t>
  </si>
  <si>
    <t>W026 - CABLE PD/CABINA</t>
  </si>
  <si>
    <t>OP en montaje sin faltantes                                                                                                   * 1204800600000 - CNC CIR PANEL 08-35 6P (M) AWG22 ROJO  (Entregado a Producción)
(09/10) · LM pasa a versión A1 · · Modificación en cantidad pines H1 (1204090200020) cantidad nueva=36
· Añadido H40 (1209990020620)cantidad=60</t>
  </si>
  <si>
    <t>W030 - CABLE PD/CABINA</t>
  </si>
  <si>
    <t>0973545003000EQ00_A2 0973545003000LM00_A1</t>
  </si>
  <si>
    <t>0973524190100DI00_A0
0973524190100LM00_A0</t>
  </si>
  <si>
    <t>06/02: Falta por instalar W424 y W425, pendiente de que diseño defina ubicación. 
OP instalación mazos W421,23, 24, 25</t>
  </si>
  <si>
    <t>W421 - FC</t>
  </si>
  <si>
    <t>0973545042100EQ00_A0 0973545042100LM00_A0</t>
  </si>
  <si>
    <t>0972845042300EQ00_A0 0972845042300LM00_A0</t>
  </si>
  <si>
    <t>0972845042400EQ00_A2 0972845042400LM00_A1</t>
  </si>
  <si>
    <t>En bahia</t>
  </si>
  <si>
    <t>0972845042500EQ00_A2 0972845042500LM00_A1</t>
  </si>
  <si>
    <t>0973525200000EQ00_A0
0973525200000DM00_A0
0973525200000LM00_A0</t>
  </si>
  <si>
    <r>
      <rPr>
        <b/>
        <sz val="9"/>
        <color rgb="FFFF0000"/>
        <rFont val="Calibri"/>
        <family val="2"/>
        <scheme val="minor"/>
      </rPr>
      <t xml:space="preserve">11/12/25:  Falta etiqueta identificacion segun plano. 
Hay elemenentos con etiqueta INDRA con S/N y toda la informacion y otros con una etiqueta solo con el nombre y el A02__ Unificar el criterio. 
PD3 segun plano lleva etiqueta Indra y no lo lleva.
El airflow sensor esta al lado de este equipo pero identificado en el plano del EEQ#1
</t>
    </r>
    <r>
      <rPr>
        <sz val="9"/>
        <color rgb="FFFF0000"/>
        <rFont val="Calibri"/>
        <family val="2"/>
        <scheme val="minor"/>
      </rPr>
      <t>27/05:Falta etiquetas: sensor humos, sensor aire acondicionado, PDAV, PD#3, ELECTRONIC EQUIPMENT #2 y Electric Shock (H9 - no se indica ubicación). Falta NUC</t>
    </r>
    <r>
      <rPr>
        <sz val="9"/>
        <color rgb="FF000000"/>
        <rFont val="Calibri"/>
        <family val="2"/>
        <scheme val="minor"/>
      </rPr>
      <t xml:space="preserve">.
28/03: Falta por instalar NUC TRAY ASSY, adaptadores del NUC TRAY ASSY y pulsera electroestatica
20/12: Falta PD3 y NUC TRAY ASSY (Todavía no se han terminado de fabricar)
                                               </t>
    </r>
    <r>
      <rPr>
        <sz val="9"/>
        <color rgb="FF70AD47"/>
        <rFont val="Calibri"/>
        <family val="2"/>
        <scheme val="minor"/>
      </rPr>
      <t xml:space="preserve"> </t>
    </r>
    <r>
      <rPr>
        <sz val="9"/>
        <color rgb="FF000000"/>
        <rFont val="Calibri"/>
        <family val="2"/>
        <scheme val="minor"/>
      </rPr>
      <t xml:space="preserve">    </t>
    </r>
  </si>
  <si>
    <t>0973520000000AI00_A0 0973525201000EQ00_A0 0973525201000DE00_A0 0973525201000LM00_A0</t>
  </si>
  <si>
    <r>
      <rPr>
        <sz val="9"/>
        <color rgb="FF000000"/>
        <rFont val="Calibri"/>
        <family val="2"/>
        <scheme val="minor"/>
      </rPr>
      <t>28/02 aparte de las bornas falta 1 conector 1214303230820 y faltan las 6 bases de los reles que se han cargado y pedido a Cabanillas.
OP en montaje. Esta OP tiene los siguientes faltante:                                                                                                                                                                                                                                                                                                                                                                                                                    
* 1237090062101_BORNA RAIL SIZE#22 DISENO#3 5A S/SELLAR</t>
    </r>
    <r>
      <rPr>
        <sz val="9"/>
        <color rgb="FF70AD47"/>
        <rFont val="Calibri"/>
        <family val="2"/>
        <scheme val="minor"/>
      </rPr>
      <t xml:space="preserve"> (En proceso entrada Cabanillas).
</t>
    </r>
  </si>
  <si>
    <t>0973520000000AI00_A0
0973525201600LM00_A0
0972825201600DE00_A0
0973525201600EQ00_A1</t>
  </si>
  <si>
    <t>0972825201800DM00_A1
0972825201800LM00_A1</t>
  </si>
  <si>
    <t>0973525203200DE00_A3
0973525203200LM00_A2
0973525203200DM00_A1</t>
  </si>
  <si>
    <t>Entregado a Producción los últimos materiales que se han cargado nuevos.</t>
  </si>
  <si>
    <t>0973525203200LM00_A0
0973525203200DM00_A0
0973525203200DE00_A0</t>
  </si>
  <si>
    <t>Ingeniería solicita cancelar esta OP</t>
  </si>
  <si>
    <t>En laboratorio</t>
  </si>
  <si>
    <r>
      <rPr>
        <b/>
        <sz val="9"/>
        <color rgb="FFFF0000"/>
        <rFont val="Calibri"/>
        <family val="2"/>
        <scheme val="minor"/>
      </rPr>
      <t xml:space="preserve">10/12/2025 faltan W514 y W5113. el cable  H2 sin etiquetar (etiquetas en el plano).
</t>
    </r>
    <r>
      <rPr>
        <sz val="9"/>
        <color rgb="FF000000"/>
        <rFont val="Calibri"/>
        <family val="2"/>
        <scheme val="minor"/>
      </rPr>
      <t>28/05: Falta por instalar etiquetas de las regletas, eltiqyetas de la regleta del NUC, cable del poseidon y sus etiquetas. 
20/02: Falta por instalar etiquetas de los cables de los equipos, W02 (LEFT FWRD PWR STRIP), W06(annunciator) y A01 (RJ45)
06/02: Modificado por ingeniería. Entregamos para que se monte 1263011021400_F.A. VE=230VAC VS=12VDC 2.1A 25.2W ROHS (Solicitado a Cabanillas)
OP instalación</t>
    </r>
  </si>
  <si>
    <t>A0202W06</t>
  </si>
  <si>
    <t>A0202W13</t>
  </si>
  <si>
    <t>A0202W14</t>
  </si>
  <si>
    <t xml:space="preserve">08/01: OP en montaje sin faltantes
07/01: Pendiente confirmación de la ubicación de las tarjetas del AVICOM. 
22/11: Parada Instalación. Para instalar esta unidad es necesario previamente tener instalado AVICOM y AVIONICS DP.
Los códigos 0972845008001, 0972845008002, 0972845008003 ya se han fabricado en laboratorio. 
</t>
  </si>
  <si>
    <t>W081 - CABLE TAv/AvDP</t>
  </si>
  <si>
    <t>W082 - CABLE TAv/AvDP</t>
  </si>
  <si>
    <t>W083 - CABLE TAv/AvDP</t>
  </si>
  <si>
    <t>0973545008004</t>
  </si>
  <si>
    <t>W084-CABLE TAv/AvDP</t>
  </si>
  <si>
    <t xml:space="preserve">28/01: El cable nos lo da en mano Ingenieria para que se vaya etiquetando y montado. </t>
  </si>
  <si>
    <t>28/03: Falta por instalar W487, W480 y W488 se han fabricado cortos.
20/12: Faltan por instalar W478, W480, W481, W482, W471, W472, W475, W473, W487 y W488. 
OP de instalación mazos (W471, W472 (disponible), W473 (disponible), W474, W475, W476, W478, W480 (disponible-corto), W481, W482, W487, W488). Falta PD#3</t>
  </si>
  <si>
    <t>W471 - FIRE IN</t>
  </si>
  <si>
    <t>0973545047100EQ00_A1 0973545047100LM00_A0</t>
  </si>
  <si>
    <t xml:space="preserve">                                            
13/12/2024: Nueva versión EQ. Corrección de asignación de pines</t>
  </si>
  <si>
    <t>W472 - DBCU</t>
  </si>
  <si>
    <t>0973545047200EQ00_A0 0973545047200LM00_A0</t>
  </si>
  <si>
    <t xml:space="preserve">24/01: Entregado a Producción backshell que faltaba.                                        21/01 viene bacshel para un extremos, se consulta si haría falta en los 2 o en ninguno. Se deja en estateria de calidad rechazado.
SACAR DE KARDEX 206-7532 Ha llegado // 14/11: OP en montaje con los siguientes faltantes:                                                                                                                                    * 1209994240424 - ACC BACKSHELL 21 ALU MIL-DTL-38999III IV (PO 4200582738/00090 Fecha entrega 10.11.2024).
</t>
  </si>
  <si>
    <t>W473 - EMERGENCY</t>
  </si>
  <si>
    <t>0973545047300EQ00_A0 0973545047300LM00_A0</t>
  </si>
  <si>
    <t>W474 - EM PWR RACK</t>
  </si>
  <si>
    <t>0973545047400EQ00_A0 0973545047400LM00_A0</t>
  </si>
  <si>
    <t>W475 - AIR FLOW/DB</t>
  </si>
  <si>
    <t>0973545047500EQ00_A0 0973545047500LM00_A0</t>
  </si>
  <si>
    <t xml:space="preserve">OP en montaje.                                                   
</t>
  </si>
  <si>
    <t>W476 - SEATS</t>
  </si>
  <si>
    <t>0973545047600EQ00_A0 0973545047600LM00_A0</t>
  </si>
  <si>
    <t>W478 - FIRE OUT</t>
  </si>
  <si>
    <t>0973545047800EQ00_A0
0973545047800LM00_A0</t>
  </si>
  <si>
    <r>
      <rPr>
        <b/>
        <sz val="9"/>
        <color rgb="FFFF0000"/>
        <rFont val="Calibri"/>
        <family val="2"/>
        <scheme val="minor"/>
      </rPr>
      <t xml:space="preserve">4/12/25: Todos los elementos de los equipos anti incendios están sin etiquetar. Los cableados estan sin identificar o identificados con cinta de carrocero.
</t>
    </r>
    <r>
      <rPr>
        <sz val="9"/>
        <color rgb="FF000000"/>
        <rFont val="Calibri"/>
        <family val="2"/>
        <scheme val="minor"/>
      </rPr>
      <t xml:space="preserve">29/08: Pendiente firmar por produccion el cierre de la OP. </t>
    </r>
  </si>
  <si>
    <t>NO sirve (corto)</t>
  </si>
  <si>
    <t>W481 - OBSERVER</t>
  </si>
  <si>
    <t>0973545048100LM00_A0 0973545048100EQ00_A0</t>
  </si>
  <si>
    <t>12/05: No se puede terminar hasta que venga el cable que trae la Control Box IOS (Este cable nos lo tiene que dar Ingeniería)
OP en montaje sin faltantes</t>
  </si>
  <si>
    <t>W482 - IOS#1</t>
  </si>
  <si>
    <t>W487 - 400 HZ</t>
  </si>
  <si>
    <t>0973545048800</t>
  </si>
  <si>
    <t>W488 - 400 HZ</t>
  </si>
  <si>
    <t>0973545048800LM00_A0 0973545048800EQ00_A0</t>
  </si>
  <si>
    <t xml:space="preserve">20/01: Es necesario rehacer este mazo, en la instalación se ha detectado corto. </t>
  </si>
  <si>
    <t>0973524201600DI00_A0
0973524201600LM00_A0</t>
  </si>
  <si>
    <t>20/12: Falta por instalar W092, se refabrico corto. Se ha instalado corto provisionalmente.</t>
  </si>
  <si>
    <t>0972845009100EQ00_A0
0973545009100LM00_A0</t>
  </si>
  <si>
    <t>W091 - CABLE AvDP/PD RETROFIT</t>
  </si>
  <si>
    <t>W092 - CABLE AvDP/PD RETROFIT</t>
  </si>
  <si>
    <t>0972845009200EQ00_A0
0973545009200LM00_A0</t>
  </si>
  <si>
    <t>0972845009300EQ00_A0
0973545009300LM00_A0</t>
  </si>
  <si>
    <t>W093 - CABLE AvDP/PD RETROFIT</t>
  </si>
  <si>
    <r>
      <rPr>
        <sz val="9"/>
        <color rgb="FF70AD47"/>
        <rFont val="Calibri"/>
        <family val="2"/>
      </rPr>
      <t xml:space="preserve">05/03: Entra en Cabanillas los cables definitivos y se solictan servir.  </t>
    </r>
    <r>
      <rPr>
        <sz val="9"/>
        <color rgb="FF000000"/>
        <rFont val="Calibri"/>
        <family val="2"/>
      </rPr>
      <t xml:space="preserve">         Se aprovisionan los cables blancos y naranjas por CD/RS para etiquetar aunque no van a ser los defintivos.                                                                              Etiquetado lo que se puede a falta de que vengan faltantes 
OP en montaje con los siguientes faltantes.
</t>
    </r>
    <r>
      <rPr>
        <sz val="9"/>
        <color rgb="FFFF0000"/>
        <rFont val="Calibri"/>
        <family val="2"/>
      </rPr>
      <t xml:space="preserve"> </t>
    </r>
    <r>
      <rPr>
        <b/>
        <sz val="9"/>
        <color rgb="FF000000"/>
        <rFont val="Calibri"/>
        <family val="2"/>
      </rPr>
      <t>OP PADRE</t>
    </r>
  </si>
  <si>
    <t>0973525200000EQ00_A0
0973544200622LM00_A0
0973524200600DE00_A0</t>
  </si>
  <si>
    <t>jgdelapena/adalvarezm</t>
  </si>
  <si>
    <t>OP HIJO</t>
  </si>
  <si>
    <t>0973525200000EQ00_A0
0973544200625LM00_A0
0973524200600DE00_A0</t>
  </si>
  <si>
    <t>0973525200000EQ00_A0
0973544200623LM00_A0
0973524200600DE00_A0</t>
  </si>
  <si>
    <t>0973525200000EQ00_A0
0973544200624LM00_A0
0973524200600DE00_A0</t>
  </si>
  <si>
    <t>0973524200600DE00_A0
0973544200601LM00_A0
0973525330000DI00_A0</t>
  </si>
  <si>
    <t>0973525210000EQ00_A0
0973525210000DM00_A0
0973525210000LM00_A1</t>
  </si>
  <si>
    <r>
      <rPr>
        <b/>
        <sz val="9"/>
        <color rgb="FFFF0000"/>
        <rFont val="Calibri"/>
        <family val="2"/>
        <scheme val="minor"/>
      </rPr>
      <t>15/12/2025: Falta etiquetas: ELECTRONIC EQUIPMENT #3  y 3 cables sin etiquetar a la PWR STRIP #3</t>
    </r>
    <r>
      <rPr>
        <sz val="9"/>
        <color rgb="FFFF0000"/>
        <rFont val="Calibri"/>
        <family val="2"/>
        <scheme val="minor"/>
      </rPr>
      <t xml:space="preserve">
27/05: Falta instalar: Actuator Tray Assy y pulsera electroestática.Falta etiquetas: ELECTRONIC EQUIPMENT #3 y Electric Shock (H9 - no se indica ubicación).
</t>
    </r>
    <r>
      <rPr>
        <sz val="9"/>
        <color rgb="FF000000"/>
        <rFont val="Calibri"/>
        <family val="2"/>
        <scheme val="minor"/>
      </rPr>
      <t xml:space="preserve">
28/03: Falta instalar: Actuator Tray Assy, Relay Tray Assy, pulsera electroestática
Falta Equializer (Todavía no se ha terminado de fabricar)       </t>
    </r>
  </si>
  <si>
    <t>09732823216000.00</t>
  </si>
  <si>
    <t>ACTUATORS TRAY ASSY</t>
  </si>
  <si>
    <t>0973523216000DI00_A1
0973523216000LM00_A1</t>
  </si>
  <si>
    <t>10/06: Incidencias solucionadas, la pasamos a Calidad.                                  30-05 El cable W681 que alimenta la fuente de alimentación no viene con la propia fuente y en la documentación de este cable pone que si
21/05: Se añade nueva tonillería.                                                                       12/05: No se especifican fijaciones.</t>
  </si>
  <si>
    <t>RELAYS TRAY ASSY</t>
  </si>
  <si>
    <t>0973523217000DE00_A1
0973523217000LM00_A1</t>
  </si>
  <si>
    <t xml:space="preserve">28/03: Se especifican las fijaciones, velcro 3MS.
10/03: No se especifican fijaciones ni ubicación de las fuentes de alimentación. </t>
  </si>
  <si>
    <t>0973525220000DM00_A0
0973525220000LM00_A0</t>
  </si>
  <si>
    <r>
      <rPr>
        <b/>
        <sz val="9"/>
        <color rgb="FFFF0000"/>
        <rFont val="Calibri"/>
        <family val="2"/>
        <scheme val="minor"/>
      </rPr>
      <t xml:space="preserve">10/12/25: Faltan etiquetas indra y cables sin retraer en el detector de temperatura y humo.
</t>
    </r>
    <r>
      <rPr>
        <sz val="9"/>
        <color rgb="FFFF0000"/>
        <rFont val="Calibri"/>
        <family val="2"/>
        <scheme val="minor"/>
      </rPr>
      <t xml:space="preserve">27/05: Falta etiquetas: ELECTRONIC EQUIPMENT #4 y Electric Shock (H9 - no se indica ubicación), SERVO AMP UNIT y EEQ4 DIST BOX.
</t>
    </r>
    <r>
      <rPr>
        <sz val="9"/>
        <color rgb="FF000000"/>
        <rFont val="Calibri"/>
        <family val="2"/>
        <scheme val="minor"/>
      </rPr>
      <t xml:space="preserve">Falta PD3 (Todavia no se ha terminado de fabricar)
OP instalación (EEQ DIST BOX#2, SERVO APLIFIERS UNIT #1, SLIDE)                                          </t>
    </r>
  </si>
  <si>
    <t>MEC</t>
  </si>
  <si>
    <t>0973525224000EQ00_A0
0973525224000LM00_A0</t>
  </si>
  <si>
    <r>
      <rPr>
        <sz val="9"/>
        <color rgb="FF70AD47"/>
        <rFont val="Calibri"/>
        <family val="2"/>
        <scheme val="minor"/>
      </rPr>
      <t xml:space="preserve">09/06: Está terminada e instalada en el rack #4 (Lo confirma Ingeniería)
</t>
    </r>
    <r>
      <rPr>
        <sz val="9"/>
        <color rgb="FF000000"/>
        <rFont val="Calibri"/>
        <family val="2"/>
        <scheme val="minor"/>
      </rPr>
      <t xml:space="preserve">
El nuevo panel frontal que se carga se entrega a Ingeniería porque ya está instalado el resto de componentes que carga la OP.                                        3/02 La tapa viene mecanizada y no sirve para poner en la caja
OP en montaje sin faltantes.</t>
    </r>
  </si>
  <si>
    <t>0973520000000AI00_A0
0973525240000DM00_A0
0973525240000LM00_A0</t>
  </si>
  <si>
    <r>
      <rPr>
        <b/>
        <sz val="9"/>
        <color rgb="FFFF0000"/>
        <rFont val="Calibri"/>
        <family val="2"/>
        <scheme val="minor"/>
      </rPr>
      <t xml:space="preserve">11/12/2025: Falta de incluir tornilleria para fijar paneles y monitores. 
Elemento H10 se ha marcado la posición con permanente y se ve la marca. 
A03 y otros elementos con defectos de pintura. 
</t>
    </r>
    <r>
      <rPr>
        <sz val="9"/>
        <color rgb="FF000000"/>
        <rFont val="Calibri"/>
        <family val="2"/>
        <scheme val="minor"/>
      </rPr>
      <t xml:space="preserve">29/08: Pendiente firmar por produccion el cierre de la OP. </t>
    </r>
  </si>
  <si>
    <t>0973520000000AI00_A0 0973525240200EQ00_A0 0973525240200LM00_A0</t>
  </si>
  <si>
    <t>28/01: Los cuatro conectores cargados se han entregado a Producción                                                                                                      22/01: El conector correcto esta en la BOM desde el lote 1 así que debe estar disponible (Conectores solicitados a Cabanillas, los otros dos se encuentran en Kardex).                                                                                                      21/01 los conestores J3 a J6 vienen aereos cuando deben ser de panel.</t>
  </si>
  <si>
    <t xml:space="preserve">0973525240400EQ00_A0 0973525240400LM00_A0 </t>
  </si>
  <si>
    <t>IOS Seat Panel</t>
  </si>
  <si>
    <t>0972825240800LM00_A0 0972825240800EQ00_A0</t>
  </si>
  <si>
    <t>0973520000000AI00_A0  0973525240600EQ00_A0 0973525240600LM00_A0</t>
  </si>
  <si>
    <t>0973520000000AI00_A0 0973525270900EQ00_A0 0973525270900LM00_A0</t>
  </si>
  <si>
    <r>
      <rPr>
        <b/>
        <sz val="9"/>
        <color rgb="FF000000"/>
        <rFont val="Calibri"/>
        <family val="2"/>
        <scheme val="minor"/>
      </rPr>
      <t xml:space="preserve">25-03: Las asas se entregaron a Producción en Noviembre (11/11/2024) por adalvarez
</t>
    </r>
    <r>
      <rPr>
        <sz val="9"/>
        <color rgb="FF000000"/>
        <rFont val="Calibri"/>
        <family val="2"/>
        <scheme val="minor"/>
      </rPr>
      <t>13-02 Seguimos pendientes de las asas que tiene que aportar ingenieria (jorge)
20/11: Pendiente que Ingenieria facilite las asas a producción. 
17/10: Se pasa a Parada Diseño, en el plano aparecen las asas pero no vienen con el panel. Tampoco aparecen en la LM. 
OP en montaje sin faltantes ( 0971788271500 - AFTOUT EMO PLATE El panel nos lo da ingeniería (Se desmonta del simulador)</t>
    </r>
  </si>
  <si>
    <t xml:space="preserve">OP en montaje sin faltantes                                                                                               Los bloques estan demasiado juntos- Solución, se pone uno en horizontal. Anotaciones en la documentación. 
</t>
  </si>
  <si>
    <t>25/04: Se va a crear una nueva OP con código 0973525272800.00 FIRE ALARM PANEL.                                                                                                                                 18-12 Con el material recibido no se puede montar el panel, además falta la base de la sirena que no viene en documentación.                                                                          OP en montaje</t>
  </si>
  <si>
    <t>0973525272800.00</t>
  </si>
  <si>
    <t>0973525272800DM00_A0
0973525272800LM00_A0</t>
  </si>
  <si>
    <t>21/03: Creación de plano y LM con las modificaciones de producción. Base incluida en la LM. 
PLANOS EN SAP
RECICLAR MATERIAL DE LA OP: 60004978</t>
  </si>
  <si>
    <t>0973525290000DI00_A2
0973525290000LM00_A0</t>
  </si>
  <si>
    <t>0972825311200</t>
  </si>
  <si>
    <t>YELLOW EMERGENCY STOP</t>
  </si>
  <si>
    <t>0973525292300</t>
  </si>
  <si>
    <t>MYLAR TOP FABRIC</t>
  </si>
  <si>
    <t>0973525292300PM00_A0</t>
  </si>
  <si>
    <t>aalmandoz</t>
  </si>
  <si>
    <t>OP instalación MYLAR. Se hará cuando nos indique Ingeniería (No carga materiales).</t>
  </si>
  <si>
    <t>0973525300000DM00_A0
0973525300000LM00_A0</t>
  </si>
  <si>
    <t>12/09: Pendiente instalar interlock del armario. 
08/09: Se solicita y se saca a laboratorio el INTERLOCK del armario de CBs. (1124110210004 - MICRORRUPTOR SPDT 16A 250V 6,3X0,8 PALAN)</t>
  </si>
  <si>
    <t>27/05: Faltan etiquetas de los cables de las regletas.
OP en montaje sin faltantes.</t>
  </si>
  <si>
    <t>0973523305100DI00_A1
0973523305100LM00_A1</t>
  </si>
  <si>
    <r>
      <rPr>
        <sz val="9"/>
        <color rgb="FFFF0000"/>
        <rFont val="Calibri"/>
        <family val="2"/>
        <scheme val="minor"/>
      </rPr>
      <t xml:space="preserve">21/05: OP en montaje con faltantes de tornillería (Faltan unos tornillos M3X12 y unas arandelas planas y grower EN PROCESO ENTRADA)   </t>
    </r>
    <r>
      <rPr>
        <sz val="9"/>
        <color rgb="FF70AD47"/>
        <rFont val="Calibri"/>
        <family val="2"/>
        <scheme val="minor"/>
      </rPr>
      <t xml:space="preserve">                                                                                               Versión LM A1 modificada.</t>
    </r>
  </si>
  <si>
    <t>0973524300100DI00_A0 0973524300100LM00_A0</t>
  </si>
  <si>
    <t>17/01: Incidencias resueltas mazos W036 y W041.                                                          '07/01: Parada Diseño, pendiente resolver incongruencias W036 y W040. Pendiente servir W041.
07/01: Se han instalado los cables W036, W037, W038, W039, W042 y W044. 
OP instalación mazos W036, 37, 38, 39, 40,41, 42, 44</t>
  </si>
  <si>
    <t>W036 - CABLE PD/CABINA</t>
  </si>
  <si>
    <t>0973545003600LM00_A0 0973545003600EQ00_A1</t>
  </si>
  <si>
    <t xml:space="preserve">20/01: Entregado a Producción 1214103233621 CNC CIR 18-32 32P (H) MS3470L18-32SW                                                                                                                 28/10: 1214001933721 - CNC CIR AER 14-19 (19H) MS3476L14-19S NO ha venido en su lugar han enviado 2 Uds. del 1214101933621 - CNC CIR 14-19 (19H) MS3470L14-19S (Posición 6). Se abre incidencia nº 324 y nos envían el correcto. </t>
  </si>
  <si>
    <t>W037 - CABLE PD/CABINA</t>
  </si>
  <si>
    <t>0973545003700LM00_A0 0973545003700EQ00_A1</t>
  </si>
  <si>
    <t>W038 - CABLE PD/CABINA</t>
  </si>
  <si>
    <t>0973545003800LM00_A0 0973545003800EQ00_A0</t>
  </si>
  <si>
    <t>W039 - CABLE PD/CABINA</t>
  </si>
  <si>
    <t>0973545003900LM00_A0 0973545003900EQ00_A0</t>
  </si>
  <si>
    <t>W040 - CABLE PD/CABINA</t>
  </si>
  <si>
    <t>0973545004000LM00_A1 0973545004000EQ00_A1</t>
  </si>
  <si>
    <t>W041 - CABLE PD/CABINA</t>
  </si>
  <si>
    <t>0973545004100LM00_A0 0973545004100EQ00_A1</t>
  </si>
  <si>
    <t>22/01 Falta carcasa  o torretas para sub-d de 15 pines que no se ha puesto en LM
21/01: Entregado a Producción 1212001590501 - CNC SUB-D 15H S/PINES CRIMP ROHS (RS 812-6368)</t>
  </si>
  <si>
    <t>W042 - CABLE PD/CABINA</t>
  </si>
  <si>
    <t>0973545004200LM00_A0 0973545004200EQ00_A0</t>
  </si>
  <si>
    <t>W044 - CABLE PD/CABINA</t>
  </si>
  <si>
    <t>0973545004400LM00_A0 0973545004400EQ00_A0</t>
  </si>
  <si>
    <r>
      <rPr>
        <b/>
        <sz val="9"/>
        <color rgb="FFFF0000"/>
        <rFont val="Calibri"/>
        <family val="2"/>
        <scheme val="minor"/>
      </rPr>
      <t xml:space="preserve">09/12/2025 Cinta de carrocero identificando cables, cables sin identificar, valvulas de humo sin identificar, termoretractiles sin retraer, cableado sin enchufar. Etiqueta erronea de la regleta A040503 esta identificada como la A040505 (duplicada). Hacer una revisión completa del baseframe. 
</t>
    </r>
    <r>
      <rPr>
        <sz val="9"/>
        <color rgb="FF000000"/>
        <rFont val="Calibri"/>
        <family val="2"/>
        <scheme val="minor"/>
      </rPr>
      <t>06/02: W05 y W06 cortos. 
OP de instalación ( PWRs IOS e USBs IOS) - Documentación impresa</t>
    </r>
  </si>
  <si>
    <t>OP en montaje, sin faltantes.</t>
  </si>
  <si>
    <t xml:space="preserve">OP en montaje sin faltantes // Material de Kardex (186-3187)
</t>
  </si>
  <si>
    <t xml:space="preserve">Op en montaje.
</t>
  </si>
  <si>
    <t>Disponible</t>
  </si>
  <si>
    <t xml:space="preserve">Pendiente comprobar si está instalado. </t>
  </si>
  <si>
    <t>0973544300500</t>
  </si>
  <si>
    <t xml:space="preserve">A04W20
</t>
  </si>
  <si>
    <t>0973544300600</t>
  </si>
  <si>
    <t>A04W21</t>
  </si>
  <si>
    <t>0973544300600EQ00_A0 0973544300600LM00_A0</t>
  </si>
  <si>
    <t>0973525310000LM00_A0 0973525310000DM00_A0</t>
  </si>
  <si>
    <r>
      <rPr>
        <b/>
        <sz val="9"/>
        <color rgb="FFFF0000"/>
        <rFont val="Calibri"/>
        <family val="2"/>
        <scheme val="minor"/>
      </rPr>
      <t xml:space="preserve">4/12/25 Faltan etiquetas INDRA, cableado microswitch y DBCU sin retraer. Estado de la barandilla y rodapie deficiente. 
</t>
    </r>
    <r>
      <rPr>
        <sz val="9"/>
        <color rgb="FF70AD47"/>
        <rFont val="Calibri"/>
        <family val="2"/>
        <scheme val="minor"/>
      </rPr>
      <t>24/07: Se carga 1124320115000_INT FINAL CARRERA C/RODILLO VERT DPST y se solicita aprovisionar por RS 308-1664.  ENTREGADO A DANI</t>
    </r>
    <r>
      <rPr>
        <sz val="9"/>
        <color rgb="FFFF0000"/>
        <rFont val="Calibri"/>
        <family val="2"/>
        <scheme val="minor"/>
      </rPr>
      <t xml:space="preserve">. </t>
    </r>
    <r>
      <rPr>
        <sz val="9"/>
        <color rgb="FF000000"/>
        <rFont val="Calibri"/>
        <family val="2"/>
        <scheme val="minor"/>
      </rPr>
      <t xml:space="preserve">                                       28/05: Falta por instalar la SMOKE control BOX (OrdFab 60006155) y serigrafiar la DBCU.</t>
    </r>
    <r>
      <rPr>
        <sz val="9"/>
        <color rgb="FFFF0000"/>
        <rFont val="Calibri"/>
        <family val="2"/>
        <scheme val="minor"/>
      </rPr>
      <t xml:space="preserve"> </t>
    </r>
    <r>
      <rPr>
        <sz val="9"/>
        <color rgb="FF000000"/>
        <rFont val="Calibri"/>
        <family val="2"/>
        <scheme val="minor"/>
      </rPr>
      <t xml:space="preserve">                                                                                                           30/04: pendiente definir por ingenieria cuando se instala la alfombra. 
Se lleva a la bahía 7883000582700_ALFOMBRA SEGURIDAD RKP.
 28/03: Falta por instala la SMOKE controlBOX, la alfombrilla y la seta. 
OP de instalación.</t>
    </r>
  </si>
  <si>
    <r>
      <rPr>
        <b/>
        <sz val="9"/>
        <color rgb="FFFF0000"/>
        <rFont val="Calibri"/>
        <family val="2"/>
        <scheme val="minor"/>
      </rPr>
      <t xml:space="preserve">4/12/25 No coincide los marcajes del plano con la caja (Falta DRAWBRIDGE)
</t>
    </r>
    <r>
      <rPr>
        <sz val="9"/>
        <color rgb="FF000000"/>
        <rFont val="Calibri"/>
        <family val="2"/>
        <scheme val="minor"/>
      </rPr>
      <t>OP PPI (La caja se mecaniza en Torrejón)</t>
    </r>
  </si>
  <si>
    <t>0973520000000AI00_A0 0973525310100EQ00_A0 0973525310100DE00_A0 0973525310100LM00_A0</t>
  </si>
  <si>
    <r>
      <rPr>
        <sz val="9"/>
        <color rgb="FF000000"/>
        <rFont val="Calibri"/>
        <family val="2"/>
        <scheme val="minor"/>
      </rPr>
      <t xml:space="preserve">OP en montaje sin faltantes.                                                                                                                                                                                                                                                     </t>
    </r>
    <r>
      <rPr>
        <sz val="9"/>
        <color rgb="FF70AD47"/>
        <rFont val="Calibri"/>
        <family val="2"/>
        <scheme val="minor"/>
      </rPr>
      <t xml:space="preserve">* Se mecaniza en Torrejón 0971788310100_ DBCU CONNECTION PLATE. Ya nos la han entregado, se encuentra en laboratorio. </t>
    </r>
  </si>
  <si>
    <t>0973525310200LM00_A0 0973525310200EQ00_A0 0973525310200DE00_A0</t>
  </si>
  <si>
    <r>
      <rPr>
        <b/>
        <sz val="9"/>
        <color rgb="FFFF0000"/>
        <rFont val="Calibri"/>
        <family val="2"/>
        <scheme val="minor"/>
      </rPr>
      <t xml:space="preserve">4/12/25 Falta bloque de tierras en LM y DE. Falta etiqueta indra. 
</t>
    </r>
    <r>
      <rPr>
        <sz val="9"/>
        <color rgb="FF70AD47"/>
        <rFont val="Calibri"/>
        <family val="2"/>
        <scheme val="minor"/>
      </rPr>
      <t xml:space="preserve">01/08: Se carga nuevo material. Se trae de Cabanillas y se deja en la gaveta que hay en laboratorio.    </t>
    </r>
    <r>
      <rPr>
        <sz val="9"/>
        <color rgb="FFFF0000"/>
        <rFont val="Calibri"/>
        <family val="2"/>
        <scheme val="minor"/>
      </rPr>
      <t xml:space="preserve">                                                                    </t>
    </r>
    <r>
      <rPr>
        <sz val="9"/>
        <color rgb="FF000000"/>
        <rFont val="Calibri"/>
        <family val="2"/>
        <scheme val="minor"/>
      </rPr>
      <t>23/07: Los ZÓCALOS se entregan a Producción.</t>
    </r>
    <r>
      <rPr>
        <sz val="9"/>
        <color rgb="FF70AD47"/>
        <rFont val="Calibri"/>
        <family val="2"/>
        <scheme val="minor"/>
      </rPr>
      <t xml:space="preserve">      </t>
    </r>
    <r>
      <rPr>
        <sz val="9"/>
        <color rgb="FF0D0D0D"/>
        <rFont val="Calibri"/>
        <family val="2"/>
        <scheme val="minor"/>
      </rPr>
      <t xml:space="preserve">                                                                                                 01/07: El espacicio de la caja no permite cablear algunos componentes.                        10/07: OP en montaje con los siguientes faltantes:                                                                                                                                                                 
El conector que viene servido no es válido (J5). Se carga el 1214300530920_ CNC CIR 15-05 5H RCPT WALL CRIMP ZN R-N (Se aprovisiona por CD y se deja en la gaveta con el resto de material).                                                   6-06 aparte de los faltantes, el espacicio de la caja no permite cablear algunos componentes
</t>
    </r>
  </si>
  <si>
    <t>Laboratorio</t>
  </si>
  <si>
    <t>Motion CTRL Cabinet</t>
  </si>
  <si>
    <r>
      <rPr>
        <b/>
        <sz val="9"/>
        <color rgb="FFFF0000"/>
        <rFont val="Calibri"/>
        <family val="2"/>
        <scheme val="minor"/>
      </rPr>
      <t xml:space="preserve">4/12/25 Ver IMRA y documento inspección julio. 
</t>
    </r>
    <r>
      <rPr>
        <sz val="9"/>
        <color rgb="FF000000"/>
        <rFont val="Calibri"/>
        <family val="2"/>
        <scheme val="minor"/>
      </rPr>
      <t>OP en montaje sin faltantes.</t>
    </r>
  </si>
  <si>
    <t>0973525330000DM00_A3
0973525330000LM00_A3
0973525330000EQ00_A3
0973525330000DI00_A0</t>
  </si>
  <si>
    <r>
      <rPr>
        <b/>
        <sz val="9"/>
        <color rgb="FFFF0000"/>
        <rFont val="Calibri"/>
        <family val="2"/>
        <scheme val="minor"/>
      </rPr>
      <t>09/12/2025: Faltan: ETIQUETAS INDRA, BLANK PANELS, ELEMENTOS UBICADOS DISTINTOS A LM, RETIRAR VARIAS CINTAS DE CARROCERO, CABLES SUELTOS SIN CONECTAR (PRUEBAS).</t>
    </r>
    <r>
      <rPr>
        <sz val="9"/>
        <color rgb="FF000000"/>
        <rFont val="Calibri"/>
        <family val="2"/>
        <scheme val="minor"/>
      </rPr>
      <t xml:space="preserve">                                                                                                
27/05: Faltan los siguientes materiales a aprovisionar por parte de mecánica (aniebla): 
-POSEIDON ASSY	0973525333600
-POSEIDON SUPPORT PLATE	0973588330400
-POWER EMERGENCY STOP	0973525334500
-EMERGENCY STOP SUPPORT PLATE	0973588330100
-DOOR INTERNAL FRAME	0973588330200
-DOOR EXTERNAL FRAME	0973588330300
</t>
    </r>
  </si>
  <si>
    <t>0973525334600.00-R</t>
  </si>
  <si>
    <t>0973525334600EQ00_A3
0973525334600LM00_A3
0973525334600DE00_A0</t>
  </si>
  <si>
    <t>09/10: El conector se aprovisiona por RS 530-6101 y se monta en el simulador.                                                                                                                 6-10 Se carga un nuevo conector porque el cargado no era el correcto
OP en montaje sin faltantes.                                                                                                   OP Retrofit // Cambiar conectores para P1 y P2.</t>
  </si>
  <si>
    <t>0973524300000-R</t>
  </si>
  <si>
    <t>A04W07</t>
  </si>
  <si>
    <t>0973544300300EQ00_A0
'0973544300300LM00_A0</t>
  </si>
  <si>
    <r>
      <rPr>
        <b/>
        <sz val="9"/>
        <color rgb="FF000000"/>
        <rFont val="Calibri"/>
        <family val="2"/>
      </rPr>
      <t>5-08 Solo había que rehacer el cable A04W07OP RETROFIT</t>
    </r>
    <r>
      <rPr>
        <sz val="9"/>
        <color rgb="FF000000"/>
        <rFont val="Calibri"/>
        <family val="2"/>
      </rPr>
      <t xml:space="preserve"> - El nuevo cable nos lo da Ingeniería y es necesario su etiquetao para sustituirlo por el cable instalado dañado.</t>
    </r>
  </si>
  <si>
    <t>0973525330000EQ00_A1
0973524330100DE00_A1
0973524330100LM00_A1</t>
  </si>
  <si>
    <r>
      <t>OP realizada con la del padre 0973524330100</t>
    </r>
    <r>
      <rPr>
        <b/>
        <sz val="9"/>
        <color rgb="FF000000"/>
        <rFont val="Calibri"/>
        <family val="2"/>
        <scheme val="minor"/>
      </rPr>
      <t xml:space="preserve">
OP PADRE</t>
    </r>
  </si>
  <si>
    <t>0973544330101</t>
  </si>
  <si>
    <t>FMGC COMPUTER</t>
  </si>
  <si>
    <t>0973525330000EQ00_A1
0973524330100DE00_A1
0973544330101LM00_A0</t>
  </si>
  <si>
    <t>OP HUJO</t>
  </si>
  <si>
    <t>0973544330102</t>
  </si>
  <si>
    <t>EIS CAPT ECAM COMPUTER</t>
  </si>
  <si>
    <t>0973525330000EQ00_A1
0973524330100DE00_A1
0973544330102LM00_A0</t>
  </si>
  <si>
    <t>0973544330103</t>
  </si>
  <si>
    <t>EIS FO MCDU COMPUTER</t>
  </si>
  <si>
    <t>0973525330000EQ00_A1
0973524330100DE00_A1
0973544330103LM00_A0</t>
  </si>
  <si>
    <t>0973544330104</t>
  </si>
  <si>
    <t>IDS COMPUTER</t>
  </si>
  <si>
    <t>0973525330000EQ00_A1
0973524330100DE00_A1
0973544330104LM00_A0</t>
  </si>
  <si>
    <t>0973544330105</t>
  </si>
  <si>
    <t>IOS COMPUTER</t>
  </si>
  <si>
    <t>0973525330000EQ00_A1
0973524330100DE00_A1
0973544330105LM00_A0</t>
  </si>
  <si>
    <t>0973544330106</t>
  </si>
  <si>
    <t>HOST COMPUTER</t>
  </si>
  <si>
    <t>0973525330000EQ00_A1
0973524330100DE00_A1
09735443301076LM00_A0</t>
  </si>
  <si>
    <t>DACS COMPUTER</t>
  </si>
  <si>
    <t>0973525330000EQ00_A1
0973524330100DE00_A1
0973544330107LM00_A0</t>
  </si>
  <si>
    <t>0973544330108</t>
  </si>
  <si>
    <t>RECORDER COMPUTER</t>
  </si>
  <si>
    <t>0973525330000EQ00_A1
0973524330100DE00_A1
0973544330108LM00_A0</t>
  </si>
  <si>
    <t>0973544330109</t>
  </si>
  <si>
    <t>DEBRIEFING COMPUTER</t>
  </si>
  <si>
    <t>0973525330000EQ00_A1
0973524330100DE00_A1
0973544330109LM00_A0</t>
  </si>
  <si>
    <t>0973544330110</t>
  </si>
  <si>
    <t>0973525330000EQ00_A1
0973524330100DE00_A1
0973544330110LM00_A0</t>
  </si>
  <si>
    <t>0973544330111</t>
  </si>
  <si>
    <t>IG#1 COMPUTER</t>
  </si>
  <si>
    <t>0973525330000EQ00_A1
0973524330100DE00_A1
0973544330111LM00_A0</t>
  </si>
  <si>
    <t>0973544330112</t>
  </si>
  <si>
    <t>IG#2 COMPUTER</t>
  </si>
  <si>
    <t>0973525330000EQ00_A1
0973524330100DE00_A1
0973544330112LM00_A0</t>
  </si>
  <si>
    <t>0973544330113</t>
  </si>
  <si>
    <t>IG#3 COMPUTER</t>
  </si>
  <si>
    <t>0973525330000EQ00_A1
0973524330100DE00_A1
0973544330113LM00_A0</t>
  </si>
  <si>
    <t>0973544330114</t>
  </si>
  <si>
    <t>WXR COMPUTER</t>
  </si>
  <si>
    <t>0973525330000EQ00_A1
0973524330100DE00_A1
0973544330114LM00_A0</t>
  </si>
  <si>
    <t>0973544330115</t>
  </si>
  <si>
    <t>ACQ. TEMP. DEVICE</t>
  </si>
  <si>
    <t>0973525330000EQ00_A1
0973524330100DE00_A1
0973544330115LM00_A0</t>
  </si>
  <si>
    <t>0973544330116</t>
  </si>
  <si>
    <t>CONEXIÓN UTP EXT #1</t>
  </si>
  <si>
    <t>0973525330000EQ00_A1
0973524330100DE00_A1
0973544330116LM00_A0</t>
  </si>
  <si>
    <t>0973544330117</t>
  </si>
  <si>
    <t>CONEXIÓN UTP EXT #2</t>
  </si>
  <si>
    <t>0973525330000EQ00_A1
0973524330100DE00_A1
0973544330117LM00_A0</t>
  </si>
  <si>
    <t>0973544330118</t>
  </si>
  <si>
    <t>CONEXIÓN UTP EXT #3</t>
  </si>
  <si>
    <t>0973525330000EQ00_A1
0973524330100DE00_A1
0973544330118LM00_A0</t>
  </si>
  <si>
    <t>0973544330119</t>
  </si>
  <si>
    <t>CONEXIÓN UTP EXT #4</t>
  </si>
  <si>
    <t>0973525330000EQ00_A1
0973524330100DE00_A1
0973544330119LM00_A0</t>
  </si>
  <si>
    <t>0973544330120</t>
  </si>
  <si>
    <t>CONEXIÓN UTP EXT #5</t>
  </si>
  <si>
    <t>0973525330000EQ00_A1
0973524330100DE00_A1
0973544330120LM00_A0</t>
  </si>
  <si>
    <t>0973544330121</t>
  </si>
  <si>
    <t>CONEXIÓN UTP EXT #6</t>
  </si>
  <si>
    <t>0973525330000EQ00_A1
0973524330100DE00_A1
0973544330121LM00_A0</t>
  </si>
  <si>
    <t>0973544330122</t>
  </si>
  <si>
    <t>NAS CONEXIÓN #1</t>
  </si>
  <si>
    <t>0973525330000EQ00_A1
0973524330100DE00_A1
0973544330122LM00_A0</t>
  </si>
  <si>
    <t>0973544330123</t>
  </si>
  <si>
    <t>NAS CONEXIÓN #2</t>
  </si>
  <si>
    <t>0973525330000EQ00_A1
0973524330100DE00_A1
0973544330123LM00_A0</t>
  </si>
  <si>
    <t>0973544330124</t>
  </si>
  <si>
    <t>CONEXIÓN UTP EXT #8</t>
  </si>
  <si>
    <t>0973525330000EQ00_A1
0973524330100DE00_A1
0973544330124LM00_A0</t>
  </si>
  <si>
    <t>0973544330125</t>
  </si>
  <si>
    <t>0973525330000EQ00_A1
0973524330100DE00_A1
0973544330125LM00_A0</t>
  </si>
  <si>
    <t>0973544330126</t>
  </si>
  <si>
    <t>0973525330000EQ00_A1
0973524330100DE00_A1
0973544330126LM00_A0</t>
  </si>
  <si>
    <t>0973544330127</t>
  </si>
  <si>
    <t>0973525330000EQ00_A1
0973524330100DE00_A1
0973544330127LM00_A0</t>
  </si>
  <si>
    <t>0973544330128</t>
  </si>
  <si>
    <t>0973525330000EQ00_A1
0973524330100DE00_A1
0973544330128LM00_A0</t>
  </si>
  <si>
    <t>0973544330129</t>
  </si>
  <si>
    <t>0973525330000EQ00_A1
0973524330100DE00_A1
0973544330129LM00_A0</t>
  </si>
  <si>
    <t>0973544330130</t>
  </si>
  <si>
    <t>0973525330000EQ00_A1
0973524330100DE00_A1
0973544330130LM00_A0</t>
  </si>
  <si>
    <t>0973544330131</t>
  </si>
  <si>
    <t>0973525330000EQ00_A1
0973524330100DE00_A1
0973544330131LM00_A0</t>
  </si>
  <si>
    <t>0973544330132</t>
  </si>
  <si>
    <t>0973525330000EQ00_A1
0973524330100DE00_A1
0973544330132LM00_A0</t>
  </si>
  <si>
    <t>0973544330133</t>
  </si>
  <si>
    <t>0973525330000EQ00_A1
0973524330100DE00_A1
0973544330133LM00_A0</t>
  </si>
  <si>
    <t>0973544330134</t>
  </si>
  <si>
    <t>CONEXIÓN UTP EXT #13</t>
  </si>
  <si>
    <t>0973525330000EQ00_A1
0973524330100DE00_A1
0973544330134LM00_A0</t>
  </si>
  <si>
    <t>0973544330135</t>
  </si>
  <si>
    <t>0973525330000EQ00_A1
0973524330100DE00_A1
0973544330135LM00_A0</t>
  </si>
  <si>
    <t>0973544330136</t>
  </si>
  <si>
    <t>0973525330000EQ00_A1
0973524330100DE00_A1
0973544330136LM00_A0</t>
  </si>
  <si>
    <t>0973544330138</t>
  </si>
  <si>
    <t>0973525330000EQ00_A1
0973524330100DE00_A1
0973544330138LM00_A0</t>
  </si>
  <si>
    <t>0973544330140</t>
  </si>
  <si>
    <t>0973525330000EQ00_A1
0973524330100DE00_A1
0973544330140LM00_A0</t>
  </si>
  <si>
    <t>0973544330151</t>
  </si>
  <si>
    <t>0973525330000EQ00_A1
0973524330100DE00_A1
0973544330151LM00_A0</t>
  </si>
  <si>
    <t>0973544330152</t>
  </si>
  <si>
    <t>0973525330000EQ00_A1
0973524330100DE00_A1
0973544330152LM00_A0</t>
  </si>
  <si>
    <t>0973544330153</t>
  </si>
  <si>
    <t>0973525330000EQ00_A1
0973524330100DE00_A1
0973544330153LM00_A0</t>
  </si>
  <si>
    <t>0973544330154</t>
  </si>
  <si>
    <t>0973525330000EQ00_A1
0973524330100DE00_A1
0973544330154LM00_A0</t>
  </si>
  <si>
    <t>0973544330155</t>
  </si>
  <si>
    <t>CONEXIÓN UTP EXT #18</t>
  </si>
  <si>
    <t>0973525330000EQ00_A1
0973524330100DE00_A1
0973544330155LM00_A0</t>
  </si>
  <si>
    <t>0973544330156</t>
  </si>
  <si>
    <t>KVM FMGC COMPUTER</t>
  </si>
  <si>
    <t>0973525330000EQ00_A1
0973524330100DE00_A1
0973544330156LM00_A0</t>
  </si>
  <si>
    <t>0973544330157</t>
  </si>
  <si>
    <t>KVM EIS CAPT ECAM COMPUTER</t>
  </si>
  <si>
    <t>0973525330000EQ00_A1
0973524330100DE00_A1
0973544330157LM00_A0</t>
  </si>
  <si>
    <t>0973544330158</t>
  </si>
  <si>
    <t>KVM EIS FO MCDU COMPUTER</t>
  </si>
  <si>
    <t>0973525330000EQ00_A1
0973524330100DE00_A1
0973544330158LM00_A0</t>
  </si>
  <si>
    <t>0973544330159</t>
  </si>
  <si>
    <t>KVM IDS COMPUTER</t>
  </si>
  <si>
    <t>0973525330000EQ00_A1
0973524330100DE00_A1
0973544330159LM00_A0</t>
  </si>
  <si>
    <t>0973544330160</t>
  </si>
  <si>
    <t>KVM IOS COMPUTER</t>
  </si>
  <si>
    <t>0973525330000EQ00_A1
0973524330100DE00_A1
0973544330160LM00_A0</t>
  </si>
  <si>
    <t>0973544330161</t>
  </si>
  <si>
    <t>KVM HOST COMPUTER</t>
  </si>
  <si>
    <t>0973525330000EQ00_A1
0973524330100DE00_A1
0973544330161LM00_A0</t>
  </si>
  <si>
    <t>0973544330162</t>
  </si>
  <si>
    <t>KVM DACS COMPUTER</t>
  </si>
  <si>
    <t>0973525330000EQ00_A1
0973524330100DE00_A1
0973544330162LM00_A0</t>
  </si>
  <si>
    <t>0973544330163</t>
  </si>
  <si>
    <t>KVM RECORDER COMPUTER</t>
  </si>
  <si>
    <t>0973525330000EQ00_A1
0973524330100DE00_A1
0973544330163LM00_A0</t>
  </si>
  <si>
    <t>0973544330164</t>
  </si>
  <si>
    <t>KVM DEBRIEFING COMPUTER</t>
  </si>
  <si>
    <t>0973525330000EQ00_A1
0973524330100DE00_A1
0973544330164LM00_A0</t>
  </si>
  <si>
    <t>0973544330165</t>
  </si>
  <si>
    <t>KVM IG MASTER COMPUTER</t>
  </si>
  <si>
    <t>0973525330000EQ00_A1
0973524330100DE00_A1
0973544330165LM00_A0</t>
  </si>
  <si>
    <t>0973544330166</t>
  </si>
  <si>
    <t>KVM WXR COMPUTER</t>
  </si>
  <si>
    <t>0973525330000EQ00_A1
0973524330100DE00_A1
0973544330166LM00_A0</t>
  </si>
  <si>
    <t>0973544330170</t>
  </si>
  <si>
    <t>0973525330000EQ00_A1
0973524330100DE00_A1
0973544330170LM00_A0</t>
  </si>
  <si>
    <t>0973544330171</t>
  </si>
  <si>
    <t>0973525330000EQ00_A1
0973524330100DE00_A1
0973544330171LM00_A0</t>
  </si>
  <si>
    <t>0973544330172</t>
  </si>
  <si>
    <t>0973525330000EQ00_A1
0973524330100DE00_A1
0973544330172LM00_A0</t>
  </si>
  <si>
    <t>0973544330173</t>
  </si>
  <si>
    <t>0973525330000EQ00_A1
0973524330100DE00_A1
0973544330173LM00_A0</t>
  </si>
  <si>
    <t>0973525330000EQ00_A1
0973524330100DE00_A1
0973544330180LM00_A0</t>
  </si>
  <si>
    <t>0973525330000EQ00_A1
0973524330200DE00_A0
0973524330200LM00_A0</t>
  </si>
  <si>
    <r>
      <rPr>
        <sz val="9"/>
        <color rgb="FF000000"/>
        <rFont val="Calibri"/>
        <family val="2"/>
        <scheme val="minor"/>
      </rPr>
      <t xml:space="preserve">15/01: Se compra en RS cable 178-9806 //  12-12 Cables recibidos cortos, hay que acopiar de nuevoOP en montaje sin faltantes.
</t>
    </r>
    <r>
      <rPr>
        <b/>
        <sz val="9"/>
        <color rgb="FF000000"/>
        <rFont val="Calibri"/>
        <family val="2"/>
        <scheme val="minor"/>
      </rPr>
      <t>CABLES DE ALIMENTACIÓN YA INSTALADOS, RACK EN FUNCIONAMIENTO</t>
    </r>
  </si>
  <si>
    <t>0973544330201</t>
  </si>
  <si>
    <t>PWR FMGC COMPUTER</t>
  </si>
  <si>
    <t>0973525330000EQ00_A1
0973524330200DE00_A0
0973544330201LM00_A0</t>
  </si>
  <si>
    <t>0973544330202</t>
  </si>
  <si>
    <t>PWR NAS</t>
  </si>
  <si>
    <t>0973525330000EQ00_A1
0973524330200DE00_A0
0973544330202LM00_A0</t>
  </si>
  <si>
    <t>0973544330203</t>
  </si>
  <si>
    <t>PWR EIS CAPT ECAM</t>
  </si>
  <si>
    <t>0973525330000EQ00_A1
0973524330200DE00_A0
0973544330203LM00_A0</t>
  </si>
  <si>
    <t>0973544330204</t>
  </si>
  <si>
    <t>PWR KVM CONSOLE</t>
  </si>
  <si>
    <t>0973525330000EQ00_A1
0973524330200DE00_A0
0973544330204LM00_A0</t>
  </si>
  <si>
    <t>0973544330205</t>
  </si>
  <si>
    <t>PWR EIS FO MCDU COMPUTER</t>
  </si>
  <si>
    <t>0973525330000EQ00_A1
0973524330200DE00_A0
0973544330205LM00_A0</t>
  </si>
  <si>
    <t>0973544330206</t>
  </si>
  <si>
    <t>PWR IDS COMPUTER</t>
  </si>
  <si>
    <t>0973525330000EQ00_A1
0973524330200DE00_A0
0973544330206LM00_A0</t>
  </si>
  <si>
    <t>0973544330207</t>
  </si>
  <si>
    <t>PWR KVM SWITCH</t>
  </si>
  <si>
    <t>0973525330000EQ00_A1
0973524330200DE00_A0
0973544330207LM00_A0</t>
  </si>
  <si>
    <t>0973544330208</t>
  </si>
  <si>
    <t>PWR HOST COMPUTER</t>
  </si>
  <si>
    <t>0973525330000EQ00_A1
0973524330200DE00_A0
0973544330208LM00_A0</t>
  </si>
  <si>
    <t>0973544330209</t>
  </si>
  <si>
    <t>PWR IOS COMPUTER</t>
  </si>
  <si>
    <t>0973525330000EQ00_A1
0973524330200DE00_A0
0973544330209LM00_A0</t>
  </si>
  <si>
    <t>0973544330210</t>
  </si>
  <si>
    <t>PWR RECORDER COMPUTER</t>
  </si>
  <si>
    <t>0973525330000EQ00_A1
0973524330200DE00_A0
0973544330210LM00_A0</t>
  </si>
  <si>
    <t>0973544330211</t>
  </si>
  <si>
    <t>PWR DACS COMPUTER</t>
  </si>
  <si>
    <t>0973525330000EQ00_A1
0973524330200DE00_A0
0973544330211LM00_A0</t>
  </si>
  <si>
    <t>0973544330212</t>
  </si>
  <si>
    <t>PWR DEBRIEFING COMPUTER</t>
  </si>
  <si>
    <t>0973525330000EQ00_A1
0973524330200DE00_A0
0973544330212LM00_A0</t>
  </si>
  <si>
    <t>0973544330213</t>
  </si>
  <si>
    <t>PWR IG MASTER COMPUTER</t>
  </si>
  <si>
    <t>0973525330000EQ00_A1
0973524330200DE00_A0
0973544330213LM00_A0</t>
  </si>
  <si>
    <t>0973544330214</t>
  </si>
  <si>
    <t>PWR IG#1 COMPUTER</t>
  </si>
  <si>
    <t>0973525330000EQ00_A1
0973524330200DE00_A0
0973544330214LM00_A0</t>
  </si>
  <si>
    <t>0973544330215</t>
  </si>
  <si>
    <t>PWR IG#2 COMPUTER</t>
  </si>
  <si>
    <t>0973525330000EQ00_A1
0973524330200DE00_A0
0973544330215LM00_A0</t>
  </si>
  <si>
    <t>0973544330216</t>
  </si>
  <si>
    <t>PWR IG#3 COMPUTER</t>
  </si>
  <si>
    <t>0973525330000EQ00_A1
0973524330200DE00_A0
0973544330216LM00_A0</t>
  </si>
  <si>
    <t>0973544330217</t>
  </si>
  <si>
    <t>PWR WXR COMPUTER</t>
  </si>
  <si>
    <t>0973525330000EQ00_A1
0973524330200DE00_A0
0973544330217LM00_A0</t>
  </si>
  <si>
    <t>0973544330218</t>
  </si>
  <si>
    <t>PWR SRV SWITCH</t>
  </si>
  <si>
    <t>0973525330000EQ00_A1
0973524330200DE00_A0
0973544330218LM00_A0</t>
  </si>
  <si>
    <t>0973544330219</t>
  </si>
  <si>
    <t>PWR RT LANs SWITCH</t>
  </si>
  <si>
    <t>0973525330000EQ00_A1
0973524330200DE00_A0
0973544330219LM00_A0</t>
  </si>
  <si>
    <t>0973544330220</t>
  </si>
  <si>
    <t>FIREFACE</t>
  </si>
  <si>
    <t>0973525330000EQ00_A1
0973524330200DE00_A0
0973544330220LM00_A0</t>
  </si>
  <si>
    <t>0973564330221</t>
  </si>
  <si>
    <t>PWR USB EXT DPS 1</t>
  </si>
  <si>
    <t>0973525330000EQ00_A1
0973524330200DE00_A0
0973564330221LM00_A0</t>
  </si>
  <si>
    <t>0973564330222</t>
  </si>
  <si>
    <t>PWR USB EXT DPS 2</t>
  </si>
  <si>
    <t>0973525330000EQ00_A1
0973524330200DE00_A0
0973564330222LM00_A0</t>
  </si>
  <si>
    <t>0973564330223</t>
  </si>
  <si>
    <t>PWR USB EXT IOS 1</t>
  </si>
  <si>
    <t>0973525330000EQ00_A1
0973524330200DE00_A0
0973564330223LM00_A0</t>
  </si>
  <si>
    <t>0973564330224</t>
  </si>
  <si>
    <t>PWR USB EXT IOS 2</t>
  </si>
  <si>
    <t>0973525330000EQ00_A1
0973524330200DE00_A0
0973564330224LM00_A0</t>
  </si>
  <si>
    <t>0973564330225</t>
  </si>
  <si>
    <t>PWR ACQ. TEMP. DEVICE</t>
  </si>
  <si>
    <t>0973525330000EQ00_A1
0973524330200DE00_A0
0973564330225LM00_A0</t>
  </si>
  <si>
    <t>0973525330000EQ00_A1
0973524330300DE00_A0
0973524330300LM00_A0</t>
  </si>
  <si>
    <t xml:space="preserve">OP AGRUPADOR (A08W130, 132, 134, 136)                                                                                                                                              </t>
  </si>
  <si>
    <t>0973544330400</t>
  </si>
  <si>
    <t>USB DACS-FIREFACE</t>
  </si>
  <si>
    <t>0973525330000EQ00_A1
0973544330400DE00_A0
0973544330400LM00_A0</t>
  </si>
  <si>
    <t>0973544330500</t>
  </si>
  <si>
    <t>MADI CABLE</t>
  </si>
  <si>
    <t>0973525330000EQ00_A1
0973544330500DE00_A0
0973544330500LM00_A0</t>
  </si>
  <si>
    <t xml:space="preserve">16/06/2025 NO es necesaria esta OP. Devolver material si es posible. </t>
  </si>
  <si>
    <t>0973525334500</t>
  </si>
  <si>
    <t>OP en montaje.                                                                                                          * 0973588330100_ EMERGENCY STOP SUPPORT PLATE (En realidad lo que hay que acopiar es el panel ciego de 1U  1705502541000, se saca de Kardex).                               
Nuevo plano para la seta de emergencia del rack de procesadores. 
Diseño por Alicia Niebla, ítem se incluye en la LM del Rack de Procesadores A08</t>
  </si>
  <si>
    <t>0973525334600EQ00_A1
0973525334600LM00_A1
0973525334600DE00_A0</t>
  </si>
  <si>
    <t xml:space="preserve">Ha habido un error en la LM que se comparte en red y se ha copiado mal el SICA de la posición H10 aunque el P/N y la denominación sean correctas.
Por lo tanto el SICA correcto de dicha posición H10 y que Jorge va actualizar en la LM y subir a SAP en versión A3 es 1705202000000 (Se solicita a Cabanillas y se entrega a Producción)                                                      </t>
  </si>
  <si>
    <t>Los materiales que hay cargados en esta OP no son necesarios aprovisionar. Se va a generar una nueva LM donde se cargará el conjunto. OP de instalación.</t>
  </si>
  <si>
    <t>0973525400000LM00_A0 0973525400000DM00_A0</t>
  </si>
  <si>
    <t>OP Aire acondicionado</t>
  </si>
  <si>
    <t>0973525410000EQ00_A0 0973525410000LM00_A0</t>
  </si>
  <si>
    <t xml:space="preserve">25/05: Falta SMOKE GENERATOR MACHINE ASSY
</t>
  </si>
  <si>
    <t>0973520000000AI00_A0
0973525420000LM00_A0
0973525420000DI00_A2</t>
  </si>
  <si>
    <r>
      <rPr>
        <b/>
        <sz val="9"/>
        <color rgb="FFFF0000"/>
        <rFont val="Calibri"/>
        <family val="2"/>
        <scheme val="minor"/>
      </rPr>
      <t xml:space="preserve">4/12/25: Todos los elementos de los equipos anti incendios están sin etiquetar. Los cableados estan sin identificar o identificados con cinta de carrocero.
</t>
    </r>
    <r>
      <rPr>
        <sz val="9"/>
        <color rgb="FF000000"/>
        <rFont val="Calibri"/>
        <family val="2"/>
        <scheme val="minor"/>
      </rPr>
      <t xml:space="preserve">OP en montaje sin faltantes. 
Se actualiza la LM y se carga la caja con modulos In/Out.                             </t>
    </r>
  </si>
  <si>
    <t>0973525420100</t>
  </si>
  <si>
    <t>I/O MODULES BOX</t>
  </si>
  <si>
    <t>0973525420000LM00_A0
0973525420000DI00_A0</t>
  </si>
  <si>
    <r>
      <rPr>
        <b/>
        <sz val="9"/>
        <color rgb="FFFF0000"/>
        <rFont val="Calibri"/>
        <family val="2"/>
        <scheme val="minor"/>
      </rPr>
      <t xml:space="preserve">4/12/25 Sujección deficiente y falta etiqueta indra.
</t>
    </r>
    <r>
      <rPr>
        <sz val="9"/>
        <color rgb="FF70AD47"/>
        <rFont val="Calibri"/>
        <family val="2"/>
        <scheme val="minor"/>
      </rPr>
      <t xml:space="preserve">31/07: Material solicitado a Cabanillas, cuando llegue se sacará la OP a laboratorio.                                                                                                             Las mecánicas nos las entrega Ingeniería, las tiene Manrique. </t>
    </r>
    <r>
      <rPr>
        <sz val="9"/>
        <color rgb="FF000000"/>
        <rFont val="Calibri"/>
        <family val="2"/>
        <scheme val="minor"/>
      </rPr>
      <t xml:space="preserve">                         Se cosulta si debe ir seriado por el ".00". Nos indican que va sin el y se lanza el codigo 0973525420100.  </t>
    </r>
    <r>
      <rPr>
        <sz val="9"/>
        <color rgb="FFFF0000"/>
        <rFont val="Calibri"/>
        <family val="2"/>
        <scheme val="minor"/>
      </rPr>
      <t>No se puede cablear ya que dan los cables con la tapa.</t>
    </r>
  </si>
  <si>
    <t>0973525480000EQ00_A2
0973525480000LM00_A1</t>
  </si>
  <si>
    <t>09/12/2025 pendiente de etiquetar: teclado, raton y usbs ext.</t>
  </si>
  <si>
    <t>OP en montaje</t>
  </si>
  <si>
    <t>0973544000101</t>
  </si>
  <si>
    <t>W101 - REAL TIME UTP I</t>
  </si>
  <si>
    <t>0973525330000DI00_A0
0973524000100DE00_A0
0973544000101LM00_A0</t>
  </si>
  <si>
    <t>W102 - REAL TIME UTP II</t>
  </si>
  <si>
    <t>0973544000103</t>
  </si>
  <si>
    <t>W103 - REAL TIME UTP III</t>
  </si>
  <si>
    <t>0973525330000DI00_A0
0973524000100DE00_A0
0973544000103LM00_A0</t>
  </si>
  <si>
    <t>0973544000104</t>
  </si>
  <si>
    <t>W104 - REAL TIME UTP IV</t>
  </si>
  <si>
    <t>0973525330000DI00_A0
0973524000100DE00_A0
0973544000104LM00_A0</t>
  </si>
  <si>
    <t>0973544000105</t>
  </si>
  <si>
    <t>W105 - REAL TIME UTP V</t>
  </si>
  <si>
    <t>0973525330000DI00_A0
0973524000100DE00_A0
0973544000105LM00_A0</t>
  </si>
  <si>
    <t>0973544000106</t>
  </si>
  <si>
    <t>W106 - REAL TIME UTP VI</t>
  </si>
  <si>
    <t>0973525330000DI00_A0
0973524000100DE00_A0
0973544000106LM00_A0</t>
  </si>
  <si>
    <t>0973544000114</t>
  </si>
  <si>
    <t>W114 - SERVICE UTP I</t>
  </si>
  <si>
    <t>0973525330000DI00_A0
0973524000100DE00_A0
0973544000114LM00_A0</t>
  </si>
  <si>
    <t>0973544000115</t>
  </si>
  <si>
    <t>W115 - SERVICE UTP II</t>
  </si>
  <si>
    <t>0973525330000DI00_A0
0973524000100DE00_A0
0973544000115LM00_A0</t>
  </si>
  <si>
    <t>0973544000116</t>
  </si>
  <si>
    <t>W116 - SERVICE UTP III</t>
  </si>
  <si>
    <t>0973525330000DI00_A0
0973524000100DE00_A0
0973544000116LM00_A0</t>
  </si>
  <si>
    <t>0973544000117</t>
  </si>
  <si>
    <t>W117 - SERVICE UTP IV</t>
  </si>
  <si>
    <t>0973525330000DI00_A0
0973524000100DE00_A0
0973544000117LM00_A0</t>
  </si>
  <si>
    <t>0973544000118</t>
  </si>
  <si>
    <t>W118 - SERVICE UTP V</t>
  </si>
  <si>
    <t>0973525330000DI00_A0
0973524000100DE00_A0
0973544000118LM00_A0</t>
  </si>
  <si>
    <t>0973544000119</t>
  </si>
  <si>
    <t>W119 - SERVICE UTP VI</t>
  </si>
  <si>
    <t>0973525330000DI00_A0
0973524000100DE00_A0
0973544000119LM00_A0</t>
  </si>
  <si>
    <t>W120 - SERVICE UTP VII</t>
  </si>
  <si>
    <t>0973544000130</t>
  </si>
  <si>
    <t>W130 - RED DISPLAY #1</t>
  </si>
  <si>
    <t>0973525330000DI00_A0
0973524000100DE00_A0
0973544000130LM00_A0</t>
  </si>
  <si>
    <t>0973544000131</t>
  </si>
  <si>
    <t>W131 - RED DISPLAY #2</t>
  </si>
  <si>
    <t>0973525330000DI00_A0
0973524000100DE00_A0
0973544000131LM00_A0</t>
  </si>
  <si>
    <t>0973544000132</t>
  </si>
  <si>
    <t>W132 - RED DISPLAY #3</t>
  </si>
  <si>
    <t>0973525330000DI00_A0
0973524000100DE00_A0
0973544000132LM00_A0</t>
  </si>
  <si>
    <t>0973544000133</t>
  </si>
  <si>
    <t>W133 - RED DISPLAY #4</t>
  </si>
  <si>
    <t>0973525330000DI00_A0
0973524000100DE00_A0
0973544000133LM00_A0</t>
  </si>
  <si>
    <t>0973544000134</t>
  </si>
  <si>
    <t>W134 - RED DISPLAY #5</t>
  </si>
  <si>
    <t>0973525330000DI00_A0
0973524000100DE00_A0
0973544000134LM00_A0</t>
  </si>
  <si>
    <t>0973544000135</t>
  </si>
  <si>
    <t>W135 - RED DISPLAY #6</t>
  </si>
  <si>
    <t>0973525330000DI00_A0
0973524000100DE00_A0
0973544000135LM00_A0</t>
  </si>
  <si>
    <t>W140 - UTP PANEL</t>
  </si>
  <si>
    <t>0973525330000DI00_A0
0973524000100DE00_A0
0973544000140LM00_A0</t>
  </si>
  <si>
    <t>W141 - CAMERA #1</t>
  </si>
  <si>
    <t>0973525330000DI00_A0
0973524000100DE00_A0
0973544000141LM00_A0</t>
  </si>
  <si>
    <t>0973525330000DI00_A0
0973524000100DE00_A0
0973544000142LM00_A0
0973524000100LM00_A1</t>
  </si>
  <si>
    <t>OP HIJO
se incluye el cable set VIDEO (0973524017000) en la LM del cable set LAN INTERCONNECTION (0973524000100LM00_A1)</t>
  </si>
  <si>
    <r>
      <rPr>
        <sz val="9"/>
        <color rgb="FF000000"/>
        <rFont val="Calibri"/>
        <family val="2"/>
        <scheme val="minor"/>
      </rPr>
      <t xml:space="preserve">OP en montaje// </t>
    </r>
    <r>
      <rPr>
        <b/>
        <sz val="9"/>
        <color rgb="FF000000"/>
        <rFont val="Calibri"/>
        <family val="2"/>
        <scheme val="minor"/>
      </rPr>
      <t xml:space="preserve">OP PADRE </t>
    </r>
  </si>
  <si>
    <t>0973544017100</t>
  </si>
  <si>
    <t>W171 - IOS1 TFT#1</t>
  </si>
  <si>
    <t>0973525330000DI00_A0
0973544017100DE00_A0
0973544017100LM00_A0</t>
  </si>
  <si>
    <t>0973544017200</t>
  </si>
  <si>
    <t>W172 - IOS1 TFT#2</t>
  </si>
  <si>
    <t>0973525330000DI00_A0
0973544017200DE00_A0
0973544017200LM00_A0</t>
  </si>
  <si>
    <t>0973544017300</t>
  </si>
  <si>
    <t>W173 - DBF TFT#1</t>
  </si>
  <si>
    <t>0973525330000DI00_A0
0973544017300DE00_A0
0973544017300LM00_A0</t>
  </si>
  <si>
    <t>0973544017400</t>
  </si>
  <si>
    <t>W174 - DBF TFT#2</t>
  </si>
  <si>
    <t>0973525330000DI00_A0
0973544017400DE00_A0
0973544017400LM00_A0</t>
  </si>
  <si>
    <t xml:space="preserve">28/05: Falta W303  (Parada diseño: El alimentador no sale en la LM y la funda servida no es suficiente).
</t>
  </si>
  <si>
    <t>W301 - BUNDLE</t>
  </si>
  <si>
    <t>pcasadop/mmvicente</t>
  </si>
  <si>
    <t>W302 - BUNDLE</t>
  </si>
  <si>
    <t>W303 - BUNDLE</t>
  </si>
  <si>
    <t>Se solicita a Cabanillas el adaptador y la funda para finalizar la fabricación del W303 y se lo entregamos a Producción.</t>
  </si>
  <si>
    <t>W304 - BUNDLE</t>
  </si>
  <si>
    <t>W305 - BUNDLE</t>
  </si>
  <si>
    <t>W306 - BUNDLE</t>
  </si>
  <si>
    <t>W307 - BUNDLE</t>
  </si>
  <si>
    <t>W308 - BUNDLE</t>
  </si>
  <si>
    <t>W309 - BUNDLE</t>
  </si>
  <si>
    <t>W310 - BUNDLE</t>
  </si>
  <si>
    <t>7-02 El conector IEC hembra no sirve para la manguera seleccionada
OP en montaje sin faltantes.</t>
  </si>
  <si>
    <t>W311 - BUNDLE</t>
  </si>
  <si>
    <t>W312 - BUNDLE</t>
  </si>
  <si>
    <t>25/05: Falta por instalar SMOKE CONTROL BOX, y por tanto las conexiones a dicho elemento. 
Falta por instalar W361 (pendiente del smoke generator) y W360 (parada diseño)</t>
  </si>
  <si>
    <t>Van 3 mangueras a un mismo conector y el clamp no lo admite, se habla con Ángel.</t>
  </si>
  <si>
    <t xml:space="preserve">W361 - </t>
  </si>
  <si>
    <t xml:space="preserve">W362 - </t>
  </si>
  <si>
    <t xml:space="preserve">17/02: Material entrregado a Producción 209994240424_ACC BACKSHELL 21 ALU MIL-DTL-38999 </t>
  </si>
  <si>
    <t xml:space="preserve">0973524420000LM00_A2
</t>
  </si>
  <si>
    <t>4/12/25: Todos los elementos de los equipos anti incendios están sin etiquetar. Los cableados estan sin identificar o identificados con cinta de carrocero.</t>
  </si>
  <si>
    <t>W370 - FIRE DETECTION</t>
  </si>
  <si>
    <t>0973545037000LM00_A0
0973545037000EQ00_A0</t>
  </si>
  <si>
    <r>
      <rPr>
        <b/>
        <sz val="9"/>
        <color rgb="FFFF0000"/>
        <rFont val="Calibri"/>
        <family val="2"/>
        <scheme val="minor"/>
      </rPr>
      <t xml:space="preserve">4/12/25: Todos los elementos de los equipos anti incendios están sin etiquetar. Los cableados estan sin identificar o identificados con cinta de carrocero.
</t>
    </r>
    <r>
      <rPr>
        <sz val="9"/>
        <color rgb="FF000000"/>
        <rFont val="Calibri"/>
        <family val="2"/>
        <scheme val="minor"/>
      </rPr>
      <t>03/09: Pendiente finalizar el lazo de I/O
OP instalación -</t>
    </r>
    <r>
      <rPr>
        <sz val="9"/>
        <color rgb="FF4472C4"/>
        <rFont val="Calibri"/>
        <family val="2"/>
        <scheme val="minor"/>
      </rPr>
      <t xml:space="preserve"> Este mazo se va a fabricar In situ porque las distancias y etiquetado de los planos distan de la realidad.</t>
    </r>
  </si>
  <si>
    <t>0973545037200</t>
  </si>
  <si>
    <t>W372 - FIRE DETECTION</t>
  </si>
  <si>
    <t>CABLE SET FIRE DETECTION 
0973524420000</t>
  </si>
  <si>
    <t>0973545037200LM00_A0
0973545037200EQ00_A0</t>
  </si>
  <si>
    <t>0973545037300</t>
  </si>
  <si>
    <t>W373 - FIRE DETECTION</t>
  </si>
  <si>
    <t>0973545037300LM00_A0
0973545037300DEQ0_A0</t>
  </si>
  <si>
    <t>W374 - FIRE DETECTION</t>
  </si>
  <si>
    <t>0973545037400LM00_A0
0973545037400EQ00_A0</t>
  </si>
  <si>
    <t xml:space="preserve">12-02 VIENE UN CABLE QUE NO TIENE MATERIAL </t>
  </si>
  <si>
    <t>W375 - FIRE DETECTION</t>
  </si>
  <si>
    <t>0973545037500LM00_A0
0973545037500EQ00_A0</t>
  </si>
  <si>
    <t>0973545038000</t>
  </si>
  <si>
    <t>W380 - FIRE DETECTION</t>
  </si>
  <si>
    <t xml:space="preserve">CABLE SET FIRE DETECTION 
</t>
  </si>
  <si>
    <t>0973545038000EQ00_A0
0973545038000LM00_A0</t>
  </si>
  <si>
    <t xml:space="preserve">OP de instalación (W400, W401, W402) - Documentación impresa
</t>
  </si>
  <si>
    <t>W400 - COMMS</t>
  </si>
  <si>
    <t>W401 - COMMS</t>
  </si>
  <si>
    <t>W402 - COMMS</t>
  </si>
  <si>
    <t xml:space="preserve">27/01/25 El montaje definitivo se realiza con la OP 60005538 
9-12 Los conectores de LM no son los adecuados. </t>
  </si>
  <si>
    <t>W402 - COMMS - RETROFIT</t>
  </si>
  <si>
    <t>28/05: Falta por instalar W508 (spare)
Instalacion provisional: W509 (rack procesadores) (angel) y W544 (motion). 
Revisar la etiqueta del W519.
11/02: Parada pendiente de la instalación de los sistemas a los que alimenta (debriefing statin, aire acondicionado, aire respirable…)
Falta por instalar W502, W503, W506, W507, W508, W517, W519 (cambiar etiqueta), W522, W524, W526, W527, W528,W538, W542.
Instalación parada: W503, W08, W517, W522, W524, W526, W527, W528, W542.
Instalacion provisional: W509, W543, W544 
OP de instalación (Mazos)</t>
  </si>
  <si>
    <t>W504</t>
  </si>
  <si>
    <t>W506</t>
  </si>
  <si>
    <t>0973545050600DE00_A0 0973545050600LM00_A1</t>
  </si>
  <si>
    <t>W507</t>
  </si>
  <si>
    <r>
      <rPr>
        <sz val="9"/>
        <color rgb="FF70AD47"/>
        <rFont val="Calibri"/>
        <family val="2"/>
        <scheme val="minor"/>
      </rPr>
      <t xml:space="preserve">13/02: OP modificada por diseño. Los materiales nuevos que han cargado se aprovisionan por RS, entregados a Producción (280-4922 y 225-9368)     </t>
    </r>
    <r>
      <rPr>
        <sz val="9"/>
        <color rgb="FFFF0000"/>
        <rFont val="Calibri"/>
        <family val="2"/>
        <scheme val="minor"/>
      </rPr>
      <t xml:space="preserve">                                             </t>
    </r>
    <r>
      <rPr>
        <sz val="9"/>
        <color rgb="FF70AD47"/>
        <rFont val="Calibri"/>
        <family val="2"/>
        <scheme val="minor"/>
      </rPr>
      <t xml:space="preserve">                                                               </t>
    </r>
    <r>
      <rPr>
        <sz val="9"/>
        <color rgb="FF000000"/>
        <rFont val="Calibri"/>
        <family val="2"/>
        <scheme val="minor"/>
      </rPr>
      <t xml:space="preserve">30/01 El conecto circular no es el adecuado para el cable, se va a acopiar otro conector y otro clap
24/01: Entregado a Producción CLAMP 1209994000021                                                                5-12 parada porque el clamp es pequeño y la manguera no entra.                                                                                                                                                                  </t>
    </r>
  </si>
  <si>
    <t>10/12: Entregado a Producción el cable // 3-12 los metros de cable servidos son 23,2 y deben ser 25  Cod:1220315404000 CBL RZ1-K 0,6/1KV CU 5X4MM2 BAJO HALOGEN                                                                                                                                       'OP en montaje sin faltantes</t>
  </si>
  <si>
    <t>W511</t>
  </si>
  <si>
    <t>W515</t>
  </si>
  <si>
    <t>W516</t>
  </si>
  <si>
    <t>W517</t>
  </si>
  <si>
    <r>
      <rPr>
        <sz val="9"/>
        <color rgb="FFFF0000"/>
        <rFont val="Calibri"/>
        <family val="2"/>
      </rPr>
      <t xml:space="preserve">11/02: Es necesario cambiar etiqueta. </t>
    </r>
    <r>
      <rPr>
        <sz val="9"/>
        <color rgb="FF70AD47"/>
        <rFont val="Calibri"/>
        <family val="2"/>
      </rPr>
      <t xml:space="preserve">
30/01 El conector circular no sirve para la manguera seleccionada, Van a cargar nuevos materiales para la fabricación.
24/01: Entregado a Producción 1209993210020_ ABRAZ ACOD CNC CIR #21 M85049/39-21W Se aprovisiona RS 280-4922
</t>
    </r>
    <r>
      <rPr>
        <sz val="9"/>
        <color rgb="FF000000"/>
        <rFont val="Calibri"/>
        <family val="2"/>
      </rPr>
      <t xml:space="preserve">27/11 El clamp selecionado no sirve para la manguera 5x2,5mm, además no deja espacio para la conexión, los pines son AWG16 y el cable de 2,5mm equivale a AWG14, El conector tiene 4 pines y la manguera es de 5 hilos .                                                                                                  'OP en montaje sin faltantes. </t>
    </r>
  </si>
  <si>
    <t>0973545053800</t>
  </si>
  <si>
    <t>W538</t>
  </si>
  <si>
    <t>0973545053800EQ00_A0
0973545053800LM00_A0</t>
  </si>
  <si>
    <t xml:space="preserve"> 31-01El conector especificado no tiene pines suficiente para los cables que llegan
OP en montaje sin faltantes.</t>
  </si>
  <si>
    <t>10/12: Cable entregado a Producción // '3-12 Cargado 10 metros 1220115045000 CBL FLEX 1X50MM2 H07Z1-K 750V HFLS AZ RH, el que venía estaba cortado.                                                                                                                     '28/11: Material entregado a Producción                                                                                    21/11: Se ha servido 29,5 metros de cable, se solicita a Cabanillas otros 10 metros de cable</t>
  </si>
  <si>
    <t>0973524430100EQ00_A0
0973524430100LM00_A0</t>
  </si>
  <si>
    <t xml:space="preserve">27/05: Falta por definir la conexión al chasis del baseframe, armarios embarcados y equipos comerciales. 
31/03: Modificada por Diseño. Se carga y se sirve el cable de 44 metros con código 1220115502002 - CBL FLEX 1X50MM2 AV H07Z1-K 750V CU Z1 (Se deja en la bahía porque es una OP de instalación)                                                                                       28/02: Falta por definir la conexión al chasis del baseframe, armarios embarcados y equipos comerciales.
20/02: Solicitado a Cabanillas el cable nuevo que han cargado 10/02: Falta cable del sistema de movimiento. 25mm2
</t>
  </si>
  <si>
    <t>0973524290000LM00_A0
0973525290000DI00_A3</t>
  </si>
  <si>
    <r>
      <rPr>
        <b/>
        <sz val="9"/>
        <color rgb="FFFF0000"/>
        <rFont val="Calibri"/>
        <family val="2"/>
        <scheme val="minor"/>
      </rPr>
      <t>22/01/2026 Etiqueta cable W817 no coincide con el plano cables sin etiquetar en el sitema de dislay</t>
    </r>
    <r>
      <rPr>
        <sz val="9"/>
        <color rgb="FF000000"/>
        <rFont val="Calibri"/>
        <family val="2"/>
        <scheme val="minor"/>
      </rPr>
      <t xml:space="preserve">
OP de instalación cables.</t>
    </r>
  </si>
  <si>
    <t>0973523060000DE00_A3
0973523060000LM00_A1
0973525290000DI00_A3</t>
  </si>
  <si>
    <t xml:space="preserve">Entregados a Producción 2 unds 1229598250100 CBL EQ DP 1.4-M/M 8K DP PRO P/150 L45.7M </t>
  </si>
  <si>
    <t>0973543060100</t>
  </si>
  <si>
    <t>W601</t>
  </si>
  <si>
    <t>0973543060100LM00_A0</t>
  </si>
  <si>
    <t>0973543060200</t>
  </si>
  <si>
    <t>W602</t>
  </si>
  <si>
    <t>0973543060200LM00_A0</t>
  </si>
  <si>
    <t>0973543060300</t>
  </si>
  <si>
    <t>W603</t>
  </si>
  <si>
    <t>0973543060300LM00_A0</t>
  </si>
  <si>
    <t>0973543060400</t>
  </si>
  <si>
    <t>W604</t>
  </si>
  <si>
    <t>0973543060400LM00_A0</t>
  </si>
  <si>
    <t>0973543060500</t>
  </si>
  <si>
    <t>W605</t>
  </si>
  <si>
    <t>0973543060500LM00_A0</t>
  </si>
  <si>
    <t>0973543060600</t>
  </si>
  <si>
    <t>W606</t>
  </si>
  <si>
    <t>0973543060600LM00_A0</t>
  </si>
  <si>
    <t>0973523062000DE00_A1
0973523062000LM00_A0
0973525290000DI00_A3</t>
  </si>
  <si>
    <t>0973543062900</t>
  </si>
  <si>
    <t>W629</t>
  </si>
  <si>
    <t>0973543062900LM00_A0</t>
  </si>
  <si>
    <t>0973543063000</t>
  </si>
  <si>
    <t>W630</t>
  </si>
  <si>
    <t>0973543063000LM00_A0</t>
  </si>
  <si>
    <t>0973523064000DE00_A0
0973523064000LM00_A0
0973525290000DI00_A3</t>
  </si>
  <si>
    <t>NO hay DI para la instalación. 
OP instalación (MASK POWER BUNDLES, NPORT - MASK CONTROLLER BUNDLES, MASK CONTROLLER BUNDLES)</t>
  </si>
  <si>
    <t>0973543064100</t>
  </si>
  <si>
    <t>W641 - RTN Cable</t>
  </si>
  <si>
    <t>0973543064100DE00_A0
0973543064100LM00_A0</t>
  </si>
  <si>
    <t>0973543064200</t>
  </si>
  <si>
    <t>W642 - 24 V Cable</t>
  </si>
  <si>
    <t>0973543064200DE00_A0
0973543064200LM00_A0</t>
  </si>
  <si>
    <t>0973523064400</t>
  </si>
  <si>
    <t>W644 - Mask power cables UTP</t>
  </si>
  <si>
    <t>0973523064400DE00_A0
0973523064400LM00_A0</t>
  </si>
  <si>
    <t>0973543064500</t>
  </si>
  <si>
    <t>W645 - Mask power cables #1</t>
  </si>
  <si>
    <t>0973543064500LM00_A0</t>
  </si>
  <si>
    <t>0973543064600</t>
  </si>
  <si>
    <t>W646 - Mask power cables #2</t>
  </si>
  <si>
    <t>0973543064600LM00_A0</t>
  </si>
  <si>
    <t>0973543064700</t>
  </si>
  <si>
    <t>W647 - Mask power cables #3</t>
  </si>
  <si>
    <t>0973543064700LM00_A0</t>
  </si>
  <si>
    <t>0973523064800</t>
  </si>
  <si>
    <t>W648 - Mask controller cables UTP</t>
  </si>
  <si>
    <t>0973523064800DE00_A0
0973523064800LM00_A0</t>
  </si>
  <si>
    <t>0973543064900</t>
  </si>
  <si>
    <t>W649 - CONTROLLER CABLES/Nport RS485-CN4  (1,5m) #1</t>
  </si>
  <si>
    <t>0973543064900LM00_A0</t>
  </si>
  <si>
    <t>28/03: Lista de cableado impresa e incluida en la documentación de fabricación. 
12-02 No hay EQ para la fabricación
OP en montaje.</t>
  </si>
  <si>
    <t>0973543065000</t>
  </si>
  <si>
    <t>W650 - CONTROLLER CABLES/Nport RS485-CN4  (1,5m) #2</t>
  </si>
  <si>
    <t>0973543065000LM00_A0</t>
  </si>
  <si>
    <t>0973543065100</t>
  </si>
  <si>
    <t>W651 - CONTROLLER CABLES/Nport RS485-CN4  (1,5m) #3</t>
  </si>
  <si>
    <t>0973543065100LM00_A0</t>
  </si>
  <si>
    <t>0973523065200</t>
  </si>
  <si>
    <t>W652 - Actuator controller cables UTP</t>
  </si>
  <si>
    <t>0973523065200DE00_A0
0973523065200LM00_A0</t>
  </si>
  <si>
    <t>0973543065300</t>
  </si>
  <si>
    <t>W653 - ROBOTIC CABLE FOR STEP MOTOR 10m #1</t>
  </si>
  <si>
    <t>0973543065300LM00_A0</t>
  </si>
  <si>
    <t xml:space="preserve">Material solicitado a Cabanillas. Cuando llegue se sacará la OP a laboratorio. </t>
  </si>
  <si>
    <t>0973543065400</t>
  </si>
  <si>
    <t>W654 - ROBOTIC CABLE FOR STEP MOTOR 10m #2</t>
  </si>
  <si>
    <t>0973543065400LM00_A0</t>
  </si>
  <si>
    <t>0973543065500</t>
  </si>
  <si>
    <t>W655 - ROBOTIC CABLE FOR STEP MOTOR 10m #3</t>
  </si>
  <si>
    <t>0973543065500LM00_A0</t>
  </si>
  <si>
    <t>0973525290000DI00_A1</t>
  </si>
  <si>
    <t>0973543066100</t>
  </si>
  <si>
    <t>W661</t>
  </si>
  <si>
    <t>0973543066100DE00_A0
0973543066100LM00_A0</t>
  </si>
  <si>
    <t>0973523067000DE00_A0
0973523067000LM00_A0
0973525290000DI00_A2</t>
  </si>
  <si>
    <r>
      <rPr>
        <b/>
        <sz val="9"/>
        <color rgb="FFFF0000"/>
        <rFont val="Calibri"/>
        <family val="2"/>
        <scheme val="minor"/>
      </rPr>
      <t xml:space="preserve">05/12/2025 Solo estan etiquetados los cables W672, W673 y W674
</t>
    </r>
    <r>
      <rPr>
        <b/>
        <sz val="9"/>
        <color rgb="FF000000"/>
        <rFont val="Calibri"/>
        <family val="2"/>
        <scheme val="minor"/>
      </rPr>
      <t xml:space="preserve">OP de etiquetado.      </t>
    </r>
    <r>
      <rPr>
        <sz val="9"/>
        <color rgb="FF000000"/>
        <rFont val="Calibri"/>
        <family val="2"/>
        <scheme val="minor"/>
      </rPr>
      <t xml:space="preserve">                                                                                                Son los cables de alimentación de cada dispositivo. Se ha identificado los equipos en los que hay que etiquetar el cable de alimentación y están ya montados en el simulador. Montar in situ.                                    </t>
    </r>
  </si>
  <si>
    <t>0973523068700DE00_A0
0973523068700LM00_A0
0973525290000DI00_A2</t>
  </si>
  <si>
    <t>17-06 estos cables son cortos y se van a fabricar nuevos</t>
  </si>
  <si>
    <t>0973543068800</t>
  </si>
  <si>
    <t>W688</t>
  </si>
  <si>
    <t>0973543068800LM00_A0</t>
  </si>
  <si>
    <t>0973543068900</t>
  </si>
  <si>
    <t>W689</t>
  </si>
  <si>
    <t>0973543068900LM00_A0</t>
  </si>
  <si>
    <t>0973543069000</t>
  </si>
  <si>
    <t>W690</t>
  </si>
  <si>
    <t>0973543069000LM00_A0</t>
  </si>
  <si>
    <t>0973543069100</t>
  </si>
  <si>
    <t>W691</t>
  </si>
  <si>
    <t>0973543069100LM00_A0</t>
  </si>
  <si>
    <t>0973524070000DI00_A0
0973524070000LM00_A0</t>
  </si>
  <si>
    <t>27/02: Faltan los cables ethernet. 
OP de instalación (CABLE SET VIDEO DISPLAY UNITS, CABLE SET PWR DISPLAY UNITS, CABLE SET ETH DISPLAY UNITS)</t>
  </si>
  <si>
    <t>0973524070100DE00_A0
0973524070100LM00_A0
0973524070000DI00_A0</t>
  </si>
  <si>
    <t>0973544080001</t>
  </si>
  <si>
    <t>W801 - VIDEO DU FO OUTB</t>
  </si>
  <si>
    <t>0973544080001LM00_A0</t>
  </si>
  <si>
    <t>OP en montaje sin faltantes // OP HIJO</t>
  </si>
  <si>
    <t>0973544080002</t>
  </si>
  <si>
    <t>W802 - VIDEO DU FO INBD</t>
  </si>
  <si>
    <t>0973544080002LM00_A0</t>
  </si>
  <si>
    <t>0973544080003</t>
  </si>
  <si>
    <t>W803 - VIDEO UPPER CENTER</t>
  </si>
  <si>
    <t>0973544080003LM00_A0</t>
  </si>
  <si>
    <t>0973544080004</t>
  </si>
  <si>
    <t>W804 - VIDEO LOWER CENTER</t>
  </si>
  <si>
    <t>0973544080004LM00_A0</t>
  </si>
  <si>
    <t>0973544080005</t>
  </si>
  <si>
    <t>W805 - VIDEO DU CAPT OUTB</t>
  </si>
  <si>
    <t>0973544080005LM00_A0</t>
  </si>
  <si>
    <t>0973544080006</t>
  </si>
  <si>
    <t>W806 - VIDEO DU CAPT INBD</t>
  </si>
  <si>
    <t>0973544080006LM00_A0</t>
  </si>
  <si>
    <t>0973544080007</t>
  </si>
  <si>
    <t>W807 - VIDEO MCDU1</t>
  </si>
  <si>
    <t>0973544080007LM00_A0</t>
  </si>
  <si>
    <t>0973544080008</t>
  </si>
  <si>
    <t>W808 - VIDEO MCDU2</t>
  </si>
  <si>
    <t>0973544080008LM00_A0</t>
  </si>
  <si>
    <t>0973524070200DE00_A1
0973524070200LM00_A0
0973524070000DI00_A0</t>
  </si>
  <si>
    <r>
      <rPr>
        <b/>
        <sz val="9"/>
        <color rgb="FFFF0000"/>
        <rFont val="Calibri"/>
        <family val="2"/>
        <scheme val="minor"/>
      </rPr>
      <t xml:space="preserve">05/12/25 La etiqueta A del cable W817 es incorrecta (A01010507 en lugar de A01010607)
</t>
    </r>
    <r>
      <rPr>
        <sz val="9"/>
        <color rgb="FF70AD47"/>
        <rFont val="Calibri"/>
        <family val="2"/>
        <scheme val="minor"/>
      </rPr>
      <t xml:space="preserve">05/03: Entra en almacén las otras 3 Uds. que faltaban y se entregan a Producción. </t>
    </r>
    <r>
      <rPr>
        <sz val="9"/>
        <color rgb="FF000000"/>
        <rFont val="Calibri"/>
        <family val="2"/>
        <scheme val="minor"/>
      </rPr>
      <t xml:space="preserve">                                                                              1229508280005_CBL EQ UTP RJ45-M/M 50FT NEGRO CAT6 </t>
    </r>
    <r>
      <rPr>
        <sz val="9"/>
        <color rgb="FF70AD47"/>
        <rFont val="Calibri"/>
        <family val="2"/>
        <scheme val="minor"/>
      </rPr>
      <t xml:space="preserve">LSZH (PO 4200594997/00020 Fecha entrega 28.02.2025 - Servidos y entregados 5 Uds. pero en total son 8 Uds. (De momento nos vale para 4 DUS y 1 MCDU).
</t>
    </r>
    <r>
      <rPr>
        <b/>
        <sz val="9"/>
        <color rgb="FF000000"/>
        <rFont val="Calibri"/>
        <family val="2"/>
        <scheme val="minor"/>
      </rPr>
      <t xml:space="preserve">OP PADRE -&gt; Anterior 60005080 </t>
    </r>
  </si>
  <si>
    <t>0973545081001</t>
  </si>
  <si>
    <t>W811 - LAN DU CAPT OUTBD</t>
  </si>
  <si>
    <t>0973545081001LM00_A0</t>
  </si>
  <si>
    <t>0973545081002</t>
  </si>
  <si>
    <t>W812 - LAN DU CAPT INBD</t>
  </si>
  <si>
    <t>0973545081002LM00_A0</t>
  </si>
  <si>
    <t>0973545081003</t>
  </si>
  <si>
    <t>W813 - LAN DU UPPER CENTER</t>
  </si>
  <si>
    <t>0973545081003LM00_A0</t>
  </si>
  <si>
    <t>0973545081004</t>
  </si>
  <si>
    <t>W814 - LAN DU LOWER CENTER</t>
  </si>
  <si>
    <t>0973545081004LM00_A0</t>
  </si>
  <si>
    <t>0973545081005</t>
  </si>
  <si>
    <t>W815 - LAN DU FO OUTBD</t>
  </si>
  <si>
    <t>0973545081005LM00_A0</t>
  </si>
  <si>
    <t>0973545081006</t>
  </si>
  <si>
    <t>W816 - LAN DU FO INBD</t>
  </si>
  <si>
    <t>0973545081006LM00_A0</t>
  </si>
  <si>
    <t>0973545081007</t>
  </si>
  <si>
    <t>W817 - LAN MCDU1</t>
  </si>
  <si>
    <t>0973545081007LM00_A0</t>
  </si>
  <si>
    <t>0973545081008</t>
  </si>
  <si>
    <t>W818 - LAN MCDU2</t>
  </si>
  <si>
    <t>0973545081008LM00_A0</t>
  </si>
  <si>
    <t>0973524070300DE00_A0
0973524070300LM00_A0
0973524070000DI00_A0</t>
  </si>
  <si>
    <t>OP instalación mazos (W821, W822, W823, W824, W825, W826, W827, W828 - Se encuentran parados en diseño porque el clamp no sirve para la manguera).</t>
  </si>
  <si>
    <t>W821 - PWR DU CAPT OUTBD</t>
  </si>
  <si>
    <t>0973545082001LM00_A0</t>
  </si>
  <si>
    <r>
      <rPr>
        <sz val="9"/>
        <color rgb="FF70AD47"/>
        <rFont val="Calibri"/>
        <family val="2"/>
        <scheme val="minor"/>
      </rPr>
      <t xml:space="preserve">24/01: Entregado a Producción CLAMP 1209994000021          </t>
    </r>
    <r>
      <rPr>
        <sz val="9"/>
        <color rgb="FF000000"/>
        <rFont val="Calibri"/>
        <family val="2"/>
        <scheme val="minor"/>
      </rPr>
      <t xml:space="preserve">                           27-11 El clam no sirve para la manguera de 3x1,5mm además no tiene distancia suficiente para conectar los pines.                                                                 </t>
    </r>
  </si>
  <si>
    <t>W822 - PWR DU CAPT INBD</t>
  </si>
  <si>
    <t>0973545082002LM00_A0</t>
  </si>
  <si>
    <r>
      <rPr>
        <sz val="9"/>
        <color rgb="FF70AD47"/>
        <rFont val="Calibri"/>
        <family val="2"/>
        <scheme val="minor"/>
      </rPr>
      <t xml:space="preserve">24/01: Entregado a Producción CLAMP 1209994000021    </t>
    </r>
    <r>
      <rPr>
        <sz val="9"/>
        <color rgb="FF000000"/>
        <rFont val="Calibri"/>
        <family val="2"/>
        <scheme val="minor"/>
      </rPr>
      <t xml:space="preserve">                                     3-12 Hecho un extremo el clamp no sirve para el otro extremo                                                                                 </t>
    </r>
  </si>
  <si>
    <t>W823 - PWR DU UPPER CENTER</t>
  </si>
  <si>
    <t>0973545082003LM00_A0</t>
  </si>
  <si>
    <t>W824 - PWR DU LOWER CENTER</t>
  </si>
  <si>
    <t>0973545082004LM00_A0</t>
  </si>
  <si>
    <r>
      <rPr>
        <sz val="9"/>
        <color rgb="FF70AD47"/>
        <rFont val="Calibri"/>
        <family val="2"/>
        <scheme val="minor"/>
      </rPr>
      <t xml:space="preserve">24/01: Entregado a Producción CLAMP 1209994000021   </t>
    </r>
    <r>
      <rPr>
        <sz val="9"/>
        <color rgb="FF000000"/>
        <rFont val="Calibri"/>
        <family val="2"/>
        <scheme val="minor"/>
      </rPr>
      <t xml:space="preserve">                                11-12 El clamp no sirve para la manguera                           </t>
    </r>
  </si>
  <si>
    <t>W825 - PWR DU FO OUTBD</t>
  </si>
  <si>
    <t>0973545082005LM00_A0</t>
  </si>
  <si>
    <t>W826 - PWR DU FO INBD</t>
  </si>
  <si>
    <t>0973545082006LM00_A0</t>
  </si>
  <si>
    <t>W827</t>
  </si>
  <si>
    <t>0973545082007LM00_A0</t>
  </si>
  <si>
    <t>W828 - PWR MCDU2</t>
  </si>
  <si>
    <t>0973545082008LM00_A0</t>
  </si>
  <si>
    <r>
      <rPr>
        <b/>
        <sz val="9"/>
        <color rgb="FFFF0000"/>
        <rFont val="Calibri"/>
        <family val="2"/>
        <scheme val="minor"/>
      </rPr>
      <t xml:space="preserve">4/12/25 Faltan etiquetas INDRA, cableado microswitch y DBCU sin retraer. Estado de la barandilla y rodapie deficiente. 
</t>
    </r>
    <r>
      <rPr>
        <sz val="9"/>
        <color rgb="FF000000"/>
        <rFont val="Calibri"/>
        <family val="2"/>
        <scheme val="minor"/>
      </rPr>
      <t xml:space="preserve">28/05: Falta por conectar las alfombras del puente. 
</t>
    </r>
    <r>
      <rPr>
        <b/>
        <sz val="9"/>
        <color rgb="FFFF0000"/>
        <rFont val="Calibri"/>
        <family val="2"/>
        <scheme val="minor"/>
      </rPr>
      <t xml:space="preserve">W483 etiqueta erronea, marca J16, cuando debe ser J06
</t>
    </r>
    <r>
      <rPr>
        <sz val="9"/>
        <color rgb="FF000000"/>
        <rFont val="Calibri"/>
        <family val="2"/>
        <scheme val="minor"/>
      </rPr>
      <t>Falta por instalar A05W01.
OP instalatación mazos A05W01, 02, W844, W843 - Documentación impresa</t>
    </r>
  </si>
  <si>
    <t>0973545310100EQ00_A0 0973545310100LM00_A0</t>
  </si>
  <si>
    <t xml:space="preserve">06/02: Entregado a Producción 1209994240424_ACC BACKSHELL 21 ALU MIL-DTL-38999III IV (RS 206-7532).
20-11 falta aún el backshell
</t>
  </si>
  <si>
    <t>W844 - EXT LINK</t>
  </si>
  <si>
    <t>W843</t>
  </si>
  <si>
    <t>W990 - CAN10 T</t>
  </si>
  <si>
    <t>0973545020700LM00_A0 0973545020700EQ00_A0 0973524020000DI00_A1</t>
  </si>
  <si>
    <t>W988 - CAN8 T</t>
  </si>
  <si>
    <t>W987 - CAN7 T</t>
  </si>
  <si>
    <t>0973545020687LM00_A1 0973545020687EQ00_A1 0973524020000DI00_A1</t>
  </si>
  <si>
    <t>W986 - CAN6 T</t>
  </si>
  <si>
    <t>0973545020886LM00_A0 0973524020000DI00_A1 0973545020886EQ00_A0</t>
  </si>
  <si>
    <t>W985 - CAN5 T</t>
  </si>
  <si>
    <t>0973545020685LM00_A1 0973545020685EQ00_A1 0973524020000DI00_A1</t>
  </si>
  <si>
    <t>W984 - CAN4 T</t>
  </si>
  <si>
    <t>W983 - CAN3 T</t>
  </si>
  <si>
    <t xml:space="preserve">20/01: Entregado a Producción                                                                             17/01: Servido el conector 1214000333721_ CNC CIR  8-98  (3H)  MS3476L8-98S. Se vuelve a solicitar conector a Cabanillas, abrimos incidencia logistica.                                                                                                     09/12: Falta conector P1. 
</t>
  </si>
  <si>
    <t>W982 - CAN2 T</t>
  </si>
  <si>
    <t>0973545020882LM00_A0 0973545020882EQ00_A0 0973524020000DI00_A1</t>
  </si>
  <si>
    <t>W981 - CAN1 T</t>
  </si>
  <si>
    <t>0973545020881LM00_A0 0973545020881EQ00_A0 0973524020000DI00_A1</t>
  </si>
  <si>
    <t>W977 - CAN7 H</t>
  </si>
  <si>
    <t>0973545020477EQ00_A0 0973545020477LM00_A0 0973524020000DI00_A1</t>
  </si>
  <si>
    <t>W967 - CAN7 G</t>
  </si>
  <si>
    <t>0973545020467EQ00_A0 0973545020467LM00_A0 0973524020000DI00_A1</t>
  </si>
  <si>
    <t>W957 - CAN7 F</t>
  </si>
  <si>
    <t>0973545020457EQ00_A0 0973545020457LM00_A0 0973524020000DI00_A1</t>
  </si>
  <si>
    <t>W955 - CAN5 F</t>
  </si>
  <si>
    <t>0973545020455EQ00_A0 0973545020455LM00_A0 0973524020000DI00_A1</t>
  </si>
  <si>
    <t>W947 - CAN7 E</t>
  </si>
  <si>
    <t>0973545020447EQ00_A0 0973545020447LM00_A0 0973524020000DI00_A1</t>
  </si>
  <si>
    <t>W945 - CAN5 E</t>
  </si>
  <si>
    <t>0973545020445EQ00_A0 0973545020445LM00_A0 0973524020000DI00_A1</t>
  </si>
  <si>
    <t>W940 - CAN10 D</t>
  </si>
  <si>
    <t>0973545020540LM00_A0 0973545020540EQ00_A0 0973524020000DI00_A1</t>
  </si>
  <si>
    <t>W937 - CAN7 D</t>
  </si>
  <si>
    <t>0973545020437EQ00_A0
0973545020437LM00_A0  0973524020000DI00_A1</t>
  </si>
  <si>
    <t>W935 - CAN5 D</t>
  </si>
  <si>
    <t>0973545020435EQ00_A0 0973545020435LM00_A0 0973524020000DI00_A1</t>
  </si>
  <si>
    <t>W934 - CAN4 D</t>
  </si>
  <si>
    <t>0973545020434EQ00_A0 0973545020434LM00_A0 0973524020000DI00_A1</t>
  </si>
  <si>
    <t>W933 - CAN3 D</t>
  </si>
  <si>
    <t>0973545020433EQ00_A0 0973545020433LM00_A0 0973524020000DI00_A1</t>
  </si>
  <si>
    <t>W930 - CAN10 C</t>
  </si>
  <si>
    <t>0973545020530LM00_A0 0973545020530EQ00_A0 0973524020000DI00_A1</t>
  </si>
  <si>
    <t>W929 - CAN9 C</t>
  </si>
  <si>
    <t>W927 - CAN7 C</t>
  </si>
  <si>
    <t>0973545020427EQ00_A0 0973545020427LM00_A0 0973524020000DI00_A1</t>
  </si>
  <si>
    <t>W925 - CAN5 C</t>
  </si>
  <si>
    <t>0973545020425EQ00_A0 0973545020425LM00_A0 0973524020000DI00_A1</t>
  </si>
  <si>
    <t>W924 - CAN4 C</t>
  </si>
  <si>
    <t>0973545020424EQ00_A0 0973545020424LM00_A0 0973524020000DI00_A1</t>
  </si>
  <si>
    <t>W923 - CAN3 C</t>
  </si>
  <si>
    <t>0973545020423EQ00_A0 0973545020423LM00_A0 0973524020000DI00_A1</t>
  </si>
  <si>
    <t>W920 - CAN10 B</t>
  </si>
  <si>
    <t>0973545020520LM00_A0 0973545020520EQ00_A0 0973524020000DI00_A1</t>
  </si>
  <si>
    <t>W918 - CAN8 B</t>
  </si>
  <si>
    <t>0973545020118EQ00_A1 0973545020118LM00_A0 0973524020000DI00_A1</t>
  </si>
  <si>
    <r>
      <rPr>
        <sz val="9"/>
        <color rgb="FF70AD47"/>
        <rFont val="Calibri"/>
        <family val="2"/>
        <scheme val="minor"/>
      </rPr>
      <t xml:space="preserve">15/01: Se ha modificado la nueva versión de la LM eliminando el elemento 1214100333620 y añadiendo-	1214000333721    </t>
    </r>
    <r>
      <rPr>
        <sz val="9"/>
        <color rgb="FF000000"/>
        <rFont val="Calibri"/>
        <family val="2"/>
        <scheme val="minor"/>
      </rPr>
      <t xml:space="preserve">                                                                          10-12 un extremo trae un conector de panel y debe ser aereo</t>
    </r>
  </si>
  <si>
    <t>W917 - CAN7 B</t>
  </si>
  <si>
    <t>0973545020417EQ00_A0 0973545020417LM00_A0 0973524020000DI00_A1</t>
  </si>
  <si>
    <t>W915 - CAN5 B</t>
  </si>
  <si>
    <t>0973545020415EQ00_A0 0973545020415LM00_A0 0973524020000DI00_A1</t>
  </si>
  <si>
    <t>W914 - CAN4 B</t>
  </si>
  <si>
    <t>0973545020414EQ00_A0 0973545020414LM00_A0 0973524020000DI00_A1</t>
  </si>
  <si>
    <t>W913 - CAN3 B</t>
  </si>
  <si>
    <t>0973545020413EQ00_A0 0973545020413LM00_A0 0973524020000DI00_A1</t>
  </si>
  <si>
    <t>W910 - CAN10 A</t>
  </si>
  <si>
    <t>0973545020300LM00_A0 
0973545020300EQ00_A0 0973524020000DI00_A1</t>
  </si>
  <si>
    <t>W909 - CAN9 A</t>
  </si>
  <si>
    <t>0973545020209EQ00_A2 0973545020209LM00_A1 0973524020000DI00_A1</t>
  </si>
  <si>
    <t>W908 - CAN8 A</t>
  </si>
  <si>
    <t>0973545020208EQ00_A2 0973545020208LM00_A1 0973524020000DI00_A1</t>
  </si>
  <si>
    <t>W907 - CAN7 A</t>
  </si>
  <si>
    <t>0973545020107EQ00_A2 0973545020107LM00_A0 0973524020000DI00_A1</t>
  </si>
  <si>
    <t>W906 - CAN6 A</t>
  </si>
  <si>
    <t>0973545020206EQ00_A2 0973545020206LM00_A1 0973524020000DI00_A1</t>
  </si>
  <si>
    <t>W905 - CAN5 A</t>
  </si>
  <si>
    <t>0973545020105EQ00_A1 0973545020105LM00_A0 0973524020000DI00_A1</t>
  </si>
  <si>
    <t>W904 - CAN4 A</t>
  </si>
  <si>
    <t>0973545020104EQ00_A1 0973545020104LM00_A0 0973524020000DI00_A1</t>
  </si>
  <si>
    <t>W903 - CAN3 A</t>
  </si>
  <si>
    <t>0973545020103EQ00_A1 0973545020103LM00_A0 0973524020000DI00_A1</t>
  </si>
  <si>
    <t>0973545020202-R</t>
  </si>
  <si>
    <t>W902 - CAN2 A RETROFIT</t>
  </si>
  <si>
    <t>CABLE SET CAN 1B RETROFIT</t>
  </si>
  <si>
    <t>0973545020202EQ00_A2 0973545020202LM00_A1 0973524020000DI00_A1</t>
  </si>
  <si>
    <t>W902 - CAN2 A</t>
  </si>
  <si>
    <t>0973545020201-R</t>
  </si>
  <si>
    <t>W901 - CAN1 A RETROFIT</t>
  </si>
  <si>
    <t>0973545020201EQ00_A2 0973545020201LM00_A1 0973524020000DI00_A1</t>
  </si>
  <si>
    <t>W901 - CAN1 A</t>
  </si>
  <si>
    <t>0973524020000DI00_A0 0973544020800LM00_A0 0973524020000DI00_A1</t>
  </si>
  <si>
    <t>OP instalación mazos (W981, W982, W986, mazos fabricados, se puede proceder a su instalación).</t>
  </si>
  <si>
    <t>OP instalación mazos (W990, mazos fabricados, se puede proceder a su instalación).</t>
  </si>
  <si>
    <t>0973524020000DI00_A0 0973544020600LM00_A0 0973524020000DI00_A1</t>
  </si>
  <si>
    <t>0973524020000DI00_A0 0973544020500LM00_A0 0973524020000DI00_A1</t>
  </si>
  <si>
    <t>OP instalación mazos (W920, W930, W940, mazos fabricados, se puede proceder a su instalación)</t>
  </si>
  <si>
    <t>0973524020000DI00_A0 0973524020400LM00_A0 0973524020000DI00_A1</t>
  </si>
  <si>
    <t>0973524020000DI00_A0 0973524020300LM00_A0 0973524020000DI00_A1</t>
  </si>
  <si>
    <t>0973524020000DI00_A0 0973524020200LM00_A0 0973524020000DI00_A1</t>
  </si>
  <si>
    <t>OP instalación mazos (W903, W904, W905, W906, W918, fabricación finalizada, se puede proceder a su instalación).</t>
  </si>
  <si>
    <t>0973524020000DI00_A0
0973524020100LM00_A0 0973524020000DI00_A1</t>
  </si>
  <si>
    <t>6-05 El cable negro de 70mm en LM vienen 10 metros y se necesitan 20, además los terminales de la LM no valen para el cable de tierra que es de 35mm
OP en montaje sin faltantes.</t>
  </si>
  <si>
    <t>0973524020000DI00_A1 0973524020000LM00_A0</t>
  </si>
  <si>
    <t>-09/03/2026 DI PDTE EN SAP
28/05: Instalado provisionalmente W909 (corto)</t>
  </si>
  <si>
    <t>OP instalación mazos</t>
  </si>
  <si>
    <t>A0203W51 - BUNDLE</t>
  </si>
  <si>
    <t>A0203W52 - BUNDLE</t>
  </si>
  <si>
    <t>A0203W53 - BUNDLE</t>
  </si>
  <si>
    <t>A0203W54 - BUNDLE</t>
  </si>
  <si>
    <t>A0203W55 - BUNDLE</t>
  </si>
  <si>
    <t>A0203W56 - BUNDLE</t>
  </si>
  <si>
    <t>A0203W57 - BUNDLE</t>
  </si>
  <si>
    <t>A0203W58 - BUNDLE</t>
  </si>
  <si>
    <t>A0203W59 -  BUNDLE</t>
  </si>
  <si>
    <t>A0203W60 - BUNDLE</t>
  </si>
  <si>
    <t>A0203W61 - BUNDLE</t>
  </si>
  <si>
    <t>A0203W62 - BUNDLE</t>
  </si>
  <si>
    <t>A0203W63 - BUNDLE</t>
  </si>
  <si>
    <t xml:space="preserve">Entregado a Producción el conector 1214306631920 (280-4849)
OP en montaje.                                                   
</t>
  </si>
  <si>
    <t>&lt;En Bahia</t>
  </si>
  <si>
    <t>A0203W64 - BUNDLE</t>
  </si>
  <si>
    <t>A0203W65 - BUNDLE</t>
  </si>
  <si>
    <t>A0203W66 - BUNDLE</t>
  </si>
  <si>
    <t>0973543067200</t>
  </si>
  <si>
    <t>W672</t>
  </si>
  <si>
    <t>0973543067200LM00_A0</t>
  </si>
  <si>
    <t xml:space="preserve">OP de etiquetado.                                                                                                      Son los cables de alimentación de cada dispositivo. Se ha identificado los equipos en los que hay que etiquetar el cable de alimentación y están ya montados en el simulador. Montar in situ.                                    </t>
  </si>
  <si>
    <t>0973543067300</t>
  </si>
  <si>
    <t>W673</t>
  </si>
  <si>
    <t>0973543067300LM00_A0</t>
  </si>
  <si>
    <r>
      <rPr>
        <b/>
        <sz val="9"/>
        <color rgb="FF000000"/>
        <rFont val="Calibri"/>
        <family val="2"/>
        <scheme val="minor"/>
      </rPr>
      <t xml:space="preserve">OP de etiquetado.      </t>
    </r>
    <r>
      <rPr>
        <sz val="9"/>
        <color rgb="FF000000"/>
        <rFont val="Calibri"/>
        <family val="2"/>
        <scheme val="minor"/>
      </rPr>
      <t xml:space="preserve">                                                                                                Son los cables de alimentación de cada dispositivo. Se ha identificado los equipos en los que hay que etiquetar el cable de alimentación y están ya montados en el simulador. Montar in situ.                                    </t>
    </r>
  </si>
  <si>
    <t>0973543067400</t>
  </si>
  <si>
    <t>W674</t>
  </si>
  <si>
    <t>0973543067400LM00_A0</t>
  </si>
  <si>
    <t>0973543067500</t>
  </si>
  <si>
    <t>W675</t>
  </si>
  <si>
    <t>0973543067500LM00_A0</t>
  </si>
  <si>
    <t>0973543067600</t>
  </si>
  <si>
    <t>W676</t>
  </si>
  <si>
    <t>0973543067600LM00_A0</t>
  </si>
  <si>
    <t>0973543067700</t>
  </si>
  <si>
    <t>W677</t>
  </si>
  <si>
    <t>0973543067700LM00_A0</t>
  </si>
  <si>
    <t>0973543067800</t>
  </si>
  <si>
    <t>W678</t>
  </si>
  <si>
    <t>0973543067800LM00_A0</t>
  </si>
  <si>
    <t>0973543068000</t>
  </si>
  <si>
    <t>W680</t>
  </si>
  <si>
    <t>0973543068000LM00_A0</t>
  </si>
  <si>
    <t>0973543068100</t>
  </si>
  <si>
    <t>W681</t>
  </si>
  <si>
    <t>0973543068100LM00_A0</t>
  </si>
  <si>
    <t>0973543068200</t>
  </si>
  <si>
    <t>W682</t>
  </si>
  <si>
    <t>0973543068200LM00_A0</t>
  </si>
  <si>
    <t>0973543068300</t>
  </si>
  <si>
    <t>W683</t>
  </si>
  <si>
    <t>0973543068300LM00_A0</t>
  </si>
  <si>
    <t>0973543068400</t>
  </si>
  <si>
    <t>W684</t>
  </si>
  <si>
    <t>0973543068400LM00_A0</t>
  </si>
  <si>
    <t>0973543068500</t>
  </si>
  <si>
    <t>W685</t>
  </si>
  <si>
    <t>0973543068500LM00_A0</t>
  </si>
  <si>
    <t>0973543068600</t>
  </si>
  <si>
    <t>W686</t>
  </si>
  <si>
    <t>0973543068600LM00_A0</t>
  </si>
  <si>
    <t>0973525290200.00</t>
  </si>
  <si>
    <t>Projector Assembly #1</t>
  </si>
  <si>
    <t>0973525290200DE00_A0
0973525290200LM00_A0</t>
  </si>
  <si>
    <t>20-05 Faltan las mecánicas y tonillería que al parecer las trae hardware de Xuquer
Se han traído los proyectores y las lentes para que Ingeniería haga unos ajustes previos al montaje.</t>
  </si>
  <si>
    <t>0973525290300.00</t>
  </si>
  <si>
    <t>Projector Assembly #2</t>
  </si>
  <si>
    <t>0973525290300DE00_A0
0973525290300LM00_A0</t>
  </si>
  <si>
    <t>0973525290400.00</t>
  </si>
  <si>
    <t>Projector Assembly #3</t>
  </si>
  <si>
    <t>0973525290400DE00_A0
0973525290400LM00_A0</t>
  </si>
  <si>
    <t>0973545053700</t>
  </si>
  <si>
    <t>W537</t>
  </si>
  <si>
    <t>0973545053700EQ00_A0
0973545053700LM00_A0</t>
  </si>
  <si>
    <t>12/05: Entregado a Producción los 10 metros de cable que faltaban por cargar.</t>
  </si>
  <si>
    <t>0973544220100</t>
  </si>
  <si>
    <t>A0204W01</t>
  </si>
  <si>
    <t>CABLE SET EEQ#4</t>
  </si>
  <si>
    <t>0973544220100EQ00_A0
0973544220100LM00_A0</t>
  </si>
  <si>
    <t>A320 GTA6 HW INSTRUMENTAL</t>
  </si>
  <si>
    <t>INSTRUMENTAL</t>
  </si>
  <si>
    <t>Se ha lanzado la 4564 con el mismo código, esta OP queda cancelada.</t>
  </si>
  <si>
    <t>0973524430100-R</t>
  </si>
  <si>
    <t>OP Retrofit</t>
  </si>
  <si>
    <t>0973524330100-R</t>
  </si>
  <si>
    <t>OP RETROFIT en montaje.</t>
  </si>
  <si>
    <t>0973524200000-R</t>
  </si>
  <si>
    <t>-09/03/2026 sin DI en SAP.
20-05 Está duplicada con la 60006484 y no está clara, la está analizando Jorge Gonzalez 
30/04: Es necesario realizar este cambio de cables?
OP en montaje sin faltantes</t>
  </si>
  <si>
    <t>0973524200600-R</t>
  </si>
  <si>
    <t>07-05 Fabricado, hay que instalarlos
OP en montaje sin faltantes.</t>
  </si>
  <si>
    <t>0973525410100DE00A0 0973525410100LM00A0</t>
  </si>
  <si>
    <r>
      <rPr>
        <b/>
        <sz val="9"/>
        <color rgb="FFFF0000"/>
        <rFont val="Calibri"/>
        <family val="2"/>
        <scheme val="minor"/>
      </rPr>
      <t xml:space="preserve">04/12/25: Termos sin retraer y falta etiqueta INDRA
</t>
    </r>
    <r>
      <rPr>
        <sz val="9"/>
        <color rgb="FF000000"/>
        <rFont val="Calibri"/>
        <family val="2"/>
        <scheme val="minor"/>
      </rPr>
      <t xml:space="preserve">Multiples incidencias reportadas a diseño. </t>
    </r>
  </si>
  <si>
    <t>0973520000000AI00_A0 0973525030500LM00_A0
0973525030500EQ00_A2</t>
  </si>
  <si>
    <t>9-06 Se queda la mecánica servida
3-06 La mecánica recibida no coincide con planos.
OP en montaje.                                                                                                              27/05: Ingeniería nos entrega el equipo para su modificación.                                Versión A2 ICM.
EQ A2 en Revisión 21/05</t>
  </si>
  <si>
    <t>0973520000000AI00_A0 0973525060500LM00_A0
0973525060500EQ00_A2</t>
  </si>
  <si>
    <r>
      <rPr>
        <sz val="9"/>
        <color rgb="FF000000"/>
        <rFont val="Calibri"/>
        <family val="2"/>
        <scheme val="minor"/>
      </rPr>
      <t xml:space="preserve">9-06 Se queda la mecánica servida
3-06 La mecánica recibida no coincide con planos
OP en montaje.                                                                                                              </t>
    </r>
    <r>
      <rPr>
        <sz val="9"/>
        <color rgb="FF0070C0"/>
        <rFont val="Calibri"/>
        <family val="2"/>
        <scheme val="minor"/>
      </rPr>
      <t xml:space="preserve">27/05: Ingeniería nos entrega el equipo para su modificación.                                Versión A2 ICM.
</t>
    </r>
    <r>
      <rPr>
        <sz val="9"/>
        <color rgb="FF000000"/>
        <rFont val="Calibri"/>
        <family val="2"/>
        <scheme val="minor"/>
      </rPr>
      <t>EQ A2 en Revisión 21/05</t>
    </r>
  </si>
  <si>
    <t>0973545048700-R</t>
  </si>
  <si>
    <t>0973545048700EQ00_A1 0973545048700LM00_A1</t>
  </si>
  <si>
    <r>
      <rPr>
        <sz val="9"/>
        <color rgb="FF000000"/>
        <rFont val="Calibri"/>
        <family val="2"/>
        <scheme val="minor"/>
      </rPr>
      <t xml:space="preserve">Al ser una </t>
    </r>
    <r>
      <rPr>
        <b/>
        <sz val="9"/>
        <color rgb="FF000000"/>
        <rFont val="Calibri"/>
        <family val="2"/>
        <scheme val="minor"/>
      </rPr>
      <t>OP de retrofit</t>
    </r>
    <r>
      <rPr>
        <sz val="9"/>
        <color rgb="FF000000"/>
        <rFont val="Calibri"/>
        <family val="2"/>
        <scheme val="minor"/>
      </rPr>
      <t xml:space="preserve"> se van a reutilizar los conectores que ya tenemos, no hace falta aprovisionar unos nuevos)</t>
    </r>
  </si>
  <si>
    <t>0973545048800-R</t>
  </si>
  <si>
    <t>0973545048800EQ00_A1 0973545048800LM00_A1</t>
  </si>
  <si>
    <t>0973525191500.00-R</t>
  </si>
  <si>
    <t xml:space="preserve">7-05 Por urgencias se hace el reproceso sin hojas de ruta ni documentación subida
30/04 Cambios en el PD2 indicados por correo </t>
  </si>
  <si>
    <t>0973530111000-R</t>
  </si>
  <si>
    <t>PD#1, PD#2 y MIPPDP</t>
  </si>
  <si>
    <t>0973530111000LM00_A1  0973530111000EQ00_A2</t>
  </si>
  <si>
    <r>
      <rPr>
        <sz val="9"/>
        <color rgb="FF000000"/>
        <rFont val="Calibri"/>
        <family val="2"/>
      </rPr>
      <t>OP en montaje sin faltantes //</t>
    </r>
    <r>
      <rPr>
        <b/>
        <sz val="9"/>
        <color rgb="FF000000"/>
        <rFont val="Calibri"/>
        <family val="2"/>
      </rPr>
      <t xml:space="preserve"> OP RETROFIT</t>
    </r>
  </si>
  <si>
    <t>0973530112000-R</t>
  </si>
  <si>
    <t>0973530112000LM00_A1 0973530112000EQ00_A1</t>
  </si>
  <si>
    <t>0973545054400-R</t>
  </si>
  <si>
    <t>0973525290700.00</t>
  </si>
  <si>
    <t>PROYECTOR INTERFACE ASSEMBLY</t>
  </si>
  <si>
    <t>DISPLAY</t>
  </si>
  <si>
    <t>0973525290700DE00_A0
0973525290700LM00_A0</t>
  </si>
  <si>
    <r>
      <rPr>
        <b/>
        <sz val="9"/>
        <color rgb="FF000000"/>
        <rFont val="Calibri"/>
        <family val="2"/>
      </rPr>
      <t xml:space="preserve">OP instalación proyectores.      </t>
    </r>
    <r>
      <rPr>
        <sz val="9"/>
        <color rgb="FF000000"/>
        <rFont val="Calibri"/>
        <family val="2"/>
      </rPr>
      <t xml:space="preserve">                                                                                          No es necesario aprovisionar nada porque el material viene de Xúquer (Soporte proyectores + Tornillería) Y los proyectores ya se han servido en otras OPs. </t>
    </r>
  </si>
  <si>
    <t>0973525300100.00-R</t>
  </si>
  <si>
    <t>0973525291000.00</t>
  </si>
  <si>
    <t>DISPLAY STRUCTURE ASSEMBLY</t>
  </si>
  <si>
    <t>0973525291000DE00_A0
0973525291000LM00_A1
0973525291000IM00_A0</t>
  </si>
  <si>
    <r>
      <rPr>
        <b/>
        <sz val="9"/>
        <color rgb="FFFF0000"/>
        <rFont val="Calibri"/>
        <family val="2"/>
      </rPr>
      <t xml:space="preserve">05/12/2025 - HAy cinta de carrocero en la estructura superior identificando las piezas, habrá que quitarla y limpiar los restos de pegamento que han quedado.
</t>
    </r>
    <r>
      <rPr>
        <sz val="9"/>
        <color rgb="FF000000"/>
        <rFont val="Calibri"/>
        <family val="2"/>
      </rPr>
      <t>El material lo entrega completamente Xuquer</t>
    </r>
  </si>
  <si>
    <t>0972825203400.00-R</t>
  </si>
  <si>
    <r>
      <rPr>
        <sz val="9"/>
        <color rgb="FFFF0000"/>
        <rFont val="Calibri"/>
        <family val="2"/>
        <scheme val="minor"/>
      </rPr>
      <t xml:space="preserve">Cuando pase Calidad hay que entregárselo a Miguel Ángel Rojas para que haga unas pruebas.                                                                                             </t>
    </r>
    <r>
      <rPr>
        <b/>
        <sz val="9"/>
        <color rgb="FFFF0000"/>
        <rFont val="Calibri"/>
        <family val="2"/>
        <scheme val="minor"/>
      </rPr>
      <t>OP RETROFIT</t>
    </r>
  </si>
  <si>
    <t>0973525140600.00-R</t>
  </si>
  <si>
    <t>0973525140600EQ00_A3 0973525140600LM00_A0</t>
  </si>
  <si>
    <r>
      <rPr>
        <sz val="9"/>
        <color rgb="FF000000"/>
        <rFont val="Calibri"/>
        <family val="2"/>
        <scheme val="minor"/>
      </rPr>
      <t xml:space="preserve">Esta OP no carga material, solo hay que añadir las conexiones // </t>
    </r>
    <r>
      <rPr>
        <b/>
        <sz val="9"/>
        <color rgb="FF000000"/>
        <rFont val="Calibri"/>
        <family val="2"/>
        <scheme val="minor"/>
      </rPr>
      <t>OP RETROFIT</t>
    </r>
  </si>
  <si>
    <t>0973545037500-R</t>
  </si>
  <si>
    <r>
      <rPr>
        <sz val="11"/>
        <color theme="1"/>
        <rFont val="Calibri"/>
        <family val="2"/>
        <scheme val="minor"/>
      </rPr>
      <t xml:space="preserve">Fabricar in situ. El cable AR 4X2X28AWG 7/0.127MM_ 1222700280000 se aprovisiona por RS 518-5667 porque el stock que hay en almacén es insuficiente.
</t>
    </r>
    <r>
      <rPr>
        <b/>
        <sz val="11"/>
        <color theme="1"/>
        <rFont val="Calibri"/>
        <family val="2"/>
        <scheme val="minor"/>
      </rPr>
      <t>OP RETROFIT</t>
    </r>
  </si>
  <si>
    <t>0973523068700DE00_A1
0973523068700LM00_A0
0973525290000DI00_A2</t>
  </si>
  <si>
    <r>
      <rPr>
        <b/>
        <sz val="9"/>
        <color rgb="FFFF0000"/>
        <rFont val="Calibri"/>
        <family val="2"/>
        <scheme val="minor"/>
      </rPr>
      <t xml:space="preserve">10/12/2025 identificacion de los cables sin retraer (la amarilla)
</t>
    </r>
    <r>
      <rPr>
        <sz val="9"/>
        <color rgb="FF000000"/>
        <rFont val="Calibri"/>
        <family val="2"/>
        <scheme val="minor"/>
      </rPr>
      <t xml:space="preserve">OP en montaje.
OJO!! Hay que hacer de nuevo estos cables porque se han hecho cortos. </t>
    </r>
  </si>
  <si>
    <t>0973543068800LM00_A1</t>
  </si>
  <si>
    <t>16/07: LM de los hijos no disponible en A1
OJO!! Hay que hacer de nuevo estos cables porque se han hecho cortos. Solicitar a Alex Almandoz la nueva LM</t>
  </si>
  <si>
    <t>0973543068900LM00_A1</t>
  </si>
  <si>
    <t>0973543069000LM00_A1</t>
  </si>
  <si>
    <t>0973543069100LM00_A1</t>
  </si>
  <si>
    <t>0973525110200.00-R</t>
  </si>
  <si>
    <t>RIGHT LATERAL PANEL - 22VU</t>
  </si>
  <si>
    <t>0973525110200EQ00_A4
0973525110200LM00_A2
0973525110200DE00_A1</t>
  </si>
  <si>
    <r>
      <rPr>
        <sz val="9"/>
        <color rgb="FF70AD47"/>
        <rFont val="Calibri"/>
        <family val="2"/>
      </rPr>
      <t xml:space="preserve">OP en montaje sin faltantes.       </t>
    </r>
    <r>
      <rPr>
        <sz val="9"/>
        <color rgb="FF000000"/>
        <rFont val="Calibri"/>
        <family val="2"/>
      </rPr>
      <t xml:space="preserve">                                                                                                La central 22VU nos la entrega en mano Ingeniería.                                         Las tarjetas se van a reutilizar las de la unidad 22VU del estándar 2.0, por lo que no hay necesidad de acopio de tarjetas. 
Actualización panel con ETOPS Versión nueva, por ese motivo debe haber una nueva OP.
PLANIFICACION: Se lanzan orden retrofit según indicacion de ING.</t>
    </r>
  </si>
  <si>
    <t>0973525190600.00-R</t>
  </si>
  <si>
    <t>RTIO COMP ASSY</t>
  </si>
  <si>
    <t>EEQ#1</t>
  </si>
  <si>
    <t>0973525190600DE00_A2
0973525190600LM00_A2</t>
  </si>
  <si>
    <t>Introducción del módulo inyector PoE para la cámara de DBF</t>
  </si>
  <si>
    <t>0973525140700.00-R</t>
  </si>
  <si>
    <t>0973520000000AI00_A0 0973525140700EQ00_A3 0973525140700LM00_A0</t>
  </si>
  <si>
    <t>OP RETROFIT - No hace falta añadir material puesto que solo hay que modificar las conexiones (Los paneles están encima de mi mesa en la Bahía 3)</t>
  </si>
  <si>
    <t>0973525140800.00-R</t>
  </si>
  <si>
    <t>0973520000000AI00_A0 0973525140800EQ00_A3 0973525140800LM00_A0</t>
  </si>
  <si>
    <t>0973525111100.00-R</t>
  </si>
  <si>
    <t>0973520000000AI00_A0 0973525111100EQ00_A2 0973525111100LM00_A1 0973525111100DE00_A1</t>
  </si>
  <si>
    <t xml:space="preserve">0973525204200  </t>
  </si>
  <si>
    <t>GROUND WRIST ASSY</t>
  </si>
  <si>
    <t xml:space="preserve">0973525204200DM00_A1
0973525204200LM00_A0
0973524430100EQ00_A1
0973524430100LM00_A1 </t>
  </si>
  <si>
    <t>x4:
A020240
A020355                 
A020356               
A0853</t>
  </si>
  <si>
    <t>OP en montaje. El material nos lo entrega Ingeniería.</t>
  </si>
  <si>
    <r>
      <rPr>
        <b/>
        <sz val="9"/>
        <color rgb="FFFF0000"/>
        <rFont val="Calibri"/>
        <family val="2"/>
        <scheme val="minor"/>
      </rPr>
      <t xml:space="preserve">10/12/25 Errores documentales, falta H24 en LM y algunos elementos sin identificar, ver en el IMRA. 
</t>
    </r>
    <r>
      <rPr>
        <b/>
        <sz val="9"/>
        <color rgb="FF000000"/>
        <rFont val="Calibri"/>
        <family val="2"/>
        <scheme val="minor"/>
      </rPr>
      <t xml:space="preserve">OP de instalación.  </t>
    </r>
    <r>
      <rPr>
        <sz val="9"/>
        <color rgb="FF70AD47"/>
        <rFont val="Calibri"/>
        <family val="2"/>
        <scheme val="minor"/>
      </rPr>
      <t xml:space="preserve">                                                                                                  04/07: Las alfombras de seguridad se sacan a la bahía 3.                                          </t>
    </r>
    <r>
      <rPr>
        <sz val="9"/>
        <color rgb="FF000000"/>
        <rFont val="Calibri"/>
        <family val="2"/>
        <scheme val="minor"/>
      </rPr>
      <t xml:space="preserve">                                                                                         17-06: No se especifica exactamente ni la ubicación ni como fijar los elementos. La pantalla del anunciator no encaja en el soporte.                                           Entregado el cable 1221400222402.LO - CBL APANT 4XAWG22 CU-SN NE-RO-VE-BL/BL (Es el material para el cable del cierre magnético) </t>
    </r>
  </si>
  <si>
    <t>0973520000000AI00_A0
0973525270800DM00_A0
0973525270800LM00_A0</t>
  </si>
  <si>
    <t xml:space="preserve">30/06: Se aprovisiona tornillería.                                                                                           30/04: Falta por definir la ubicación del panel de audio. 
06/02: Ya venia instalado de Xuquer.
OP de instalación (0973525270900.00)
</t>
  </si>
  <si>
    <t>0973520000000AI00_A0 0973525140800EQ00_A4 0973525140800LM00_A0</t>
  </si>
  <si>
    <t>Reprocesado el Viernes 27-06 por urgencias.</t>
  </si>
  <si>
    <t>0973524070300-R</t>
  </si>
  <si>
    <t>0973524070300DE00_A0
0973524070000DI00_A0</t>
  </si>
  <si>
    <t>26/08 Material entregado a Producción.
Es necesario hacer retrofit del cable de alimentación de una de las DUs, en cocreto es necesario rehacer el extremo que conecta al equipo. Solo es necesario acopiar el conector y la abrazadera. </t>
  </si>
  <si>
    <t>0973525204200</t>
  </si>
  <si>
    <r>
      <rPr>
        <sz val="9"/>
        <color rgb="FF70AD47"/>
        <rFont val="Calibri"/>
        <family val="2"/>
      </rPr>
      <t xml:space="preserve">09/10: Uno de los paneles ya se instaló el lunes, por lo que faltaban 3 por fabricar (de ahí las 3 pulseras), no 4.   </t>
    </r>
    <r>
      <rPr>
        <sz val="9"/>
        <color rgb="FF000000"/>
        <rFont val="Calibri"/>
        <family val="2"/>
      </rPr>
      <t xml:space="preserve">                                                                                                  OP en montaje.                                                                                                           OJO! Hay que fabricar 4 unidades de este código.                                                                                                                                                                                                              Este material nos lo entrega en mano Ingeniería 7854099300200_ CORREA MUNECA ANTIESTATIC SNAP-M/H L2.4M (x4) (Se aprovisiona por RS 251-7691)</t>
    </r>
  </si>
  <si>
    <t>A08W047</t>
  </si>
  <si>
    <t>CABLE SET RJ45 PROCESSOR RACK</t>
  </si>
  <si>
    <t>0973544330117LM00_A0
0973524330100DE00_A2</t>
  </si>
  <si>
    <t>OP en montaje.                                                                                                    Cable dañado. Sustitución.</t>
  </si>
  <si>
    <t>0973544000115 </t>
  </si>
  <si>
    <t>W115</t>
  </si>
  <si>
    <t>0973544000115LM00_A0
0973524000100DI00_A1</t>
  </si>
  <si>
    <t>-</t>
  </si>
  <si>
    <t>0973530111000EQ00_A2
0973530111000LM00_A1</t>
  </si>
  <si>
    <t>OP en montaje sin faltantes.                                                                                                                    Este material se ha aprovisionado por RS:                                                           * 1209501002300_ CNC HEADER 1X10M 2,54MM PCB RECT (670-0835).                                                                       * 1000243901101_RST PELMET AXI 3K90 1% 50PPM 3/5W (683-3641).                                                          Fabricación necesaria para OP retrofit. Consultar correo 17/09/2025</t>
  </si>
  <si>
    <t>0973525191400.00-R</t>
  </si>
  <si>
    <t>PD1</t>
  </si>
  <si>
    <t>ELECTRONIC EQUIPMENT #1</t>
  </si>
  <si>
    <t>0973525191400LM00_A2
0973525191400EQ00_A3</t>
  </si>
  <si>
    <t xml:space="preserve">Modificación lightning RMP, ACP. Consultar correo 17/09/2025
</t>
  </si>
  <si>
    <t>PD2</t>
  </si>
  <si>
    <t>0973525191500LM00_A1
0973525191500EQ00_A1</t>
  </si>
  <si>
    <t>OP en montaje. Tiene los siguientes faltantes:                                                * 0973530111000_ PANEL CARD 2 (OrdFab 60007476)                                                                                                Modificación lightning RMP, ACP. Consultar correo 17/09/2025</t>
  </si>
  <si>
    <t>OP retrofit.                                                                                                                Mail: "RE: A320 0973544300300_A04W07"Sustitución de cable por rotura.</t>
  </si>
  <si>
    <t>0973525112300.00-R</t>
  </si>
  <si>
    <t>0973520000000DE00_A1 0973525112300LM00_A2 0973525112300EQ00_A2</t>
  </si>
  <si>
    <r>
      <rPr>
        <sz val="9"/>
        <color rgb="FFFF0000"/>
        <rFont val="Calibri"/>
        <family val="2"/>
        <scheme val="minor"/>
      </rPr>
      <t>26/09: Ingeniería tiene que volver a comprar otros LEDs nuevos, el código que se ha comprado no es el correcto.</t>
    </r>
    <r>
      <rPr>
        <sz val="9"/>
        <color rgb="FF000000"/>
        <rFont val="Calibri"/>
        <family val="2"/>
        <scheme val="minor"/>
      </rPr>
      <t xml:space="preserve">                                                                                                 24/09: ESTOS LEDs no son válidos. Necesidad de retrofit, cambiar los leds. El material se le ha entregado a control de produccion por parte de diseño. </t>
    </r>
  </si>
  <si>
    <t>0918525900100</t>
  </si>
  <si>
    <t>IF CAN 11B-11S3</t>
  </si>
  <si>
    <t>0918525900100DM00_A0
0918525900100LM00_A0</t>
  </si>
  <si>
    <t>Media</t>
  </si>
  <si>
    <t>17/03 Estas OPs se van a cancelar ya que en Producción no teníamos ninguna tarea que realizar</t>
  </si>
  <si>
    <t>0970825900700</t>
  </si>
  <si>
    <t>IF CAN 11B-11S9</t>
  </si>
  <si>
    <t>0970825900700DM00_A0
0970825900700LM00_A0</t>
  </si>
  <si>
    <t>0973525900000</t>
  </si>
  <si>
    <t>IF CAN 11A-11S14</t>
  </si>
  <si>
    <t>0973525900000DM00_A0
0973525900000LM00_A0</t>
  </si>
  <si>
    <t>0973525900100</t>
  </si>
  <si>
    <t>IF CAN 11A-11S15</t>
  </si>
  <si>
    <t>0973525900100DM00_A0
0973525900100LM00_A0</t>
  </si>
  <si>
    <t>0973525900200</t>
  </si>
  <si>
    <t>IF CAN 21A-21S16</t>
  </si>
  <si>
    <t>NTB: Se cancela esta línea, se trata de una tarjeta que viene montada de fuera
05/02: Sin Documentación en SAP  | 16/03 sin version de fabricación</t>
  </si>
  <si>
    <t>0918625900200</t>
  </si>
  <si>
    <t>IF CAN 21A-21S2</t>
  </si>
  <si>
    <t>0918625900200DM00_A0
0918625900200LM00_A0</t>
  </si>
  <si>
    <t>0973545036000-R</t>
  </si>
  <si>
    <t>0973545036000EQ00_A1 0973545036000LM00_A1</t>
  </si>
  <si>
    <r>
      <rPr>
        <b/>
        <sz val="9"/>
        <color rgb="FFFF0000"/>
        <rFont val="Calibri"/>
        <family val="2"/>
        <scheme val="minor"/>
      </rPr>
      <t xml:space="preserve">04/12/25: Termos sin retraer y falta etiqueta INDRA
</t>
    </r>
    <r>
      <rPr>
        <sz val="9"/>
        <color rgb="FF000000"/>
        <rFont val="Calibri"/>
        <family val="2"/>
        <scheme val="minor"/>
      </rPr>
      <t>04/11: Pendiente soporte de ingenieria para el montaje. 
El cable ya está tirado en el simulador y quitamos el conector ya, solo es ponerle las punteras).</t>
    </r>
  </si>
  <si>
    <t>0973525190300.00-R</t>
  </si>
  <si>
    <t>ING: Se crea la OP para poder revisar el fallo en el bastidor de fuentes #2</t>
  </si>
  <si>
    <t>0973544300700</t>
  </si>
  <si>
    <t>A04W22</t>
  </si>
  <si>
    <t>CABLE SET POWER BASEFRAME</t>
  </si>
  <si>
    <t>0973544300700EQ00_A0
0973544300700LM00_A0</t>
  </si>
  <si>
    <t xml:space="preserve"> 22/10/2025</t>
  </si>
  <si>
    <t>OP en montaje.                                                                                                       ING: Se crea la OP para incluir un cable de carga para las tablets de los pilotos</t>
  </si>
  <si>
    <t>0973544300800</t>
  </si>
  <si>
    <t>A04W23</t>
  </si>
  <si>
    <t>0973544300800EQ00_A0
0973544300800LM00_A0</t>
  </si>
  <si>
    <t>0973545002600-R</t>
  </si>
  <si>
    <t>CABLE SET OVHDDP</t>
  </si>
  <si>
    <t>0973545002600EQ00_A4
0973545002600LM00_A2</t>
  </si>
  <si>
    <t>jgdelapena / rorperez</t>
  </si>
  <si>
    <t xml:space="preserve">
Se está gestionando con @fgrecio. </t>
  </si>
  <si>
    <t>0973525071300.00-R</t>
  </si>
  <si>
    <t>500VU - LIGHTNINGCLOUDSPEAKER CONTROL PANEL FO</t>
  </si>
  <si>
    <t>0973525071300EQ00_A1
0973525071300LM00_A2</t>
  </si>
  <si>
    <t>NTB: Se cancela la línea se abrió por hacer unas comprobaciones in situ del equipo
16/03: Sin LM00_A2 en SAP   
Unidad pierde la alimentación de forma espontánea</t>
  </si>
  <si>
    <t>0973525070100.00-R</t>
  </si>
  <si>
    <t>301VU - LIGHTNINGLOUDSPEAKER CONTROL PANEL CAPT</t>
  </si>
  <si>
    <t>0973525070100EQ00_A1
0973525070100LM00_A2</t>
  </si>
  <si>
    <t>NTB: Se cancela la línea se abrió por hacer unas comprobaciones in situ del equipo
16/03: Sin LM00_A2 en SAP
Unidad pierde la alimentación de forma espontánea</t>
  </si>
  <si>
    <t>0973545003900-R</t>
  </si>
  <si>
    <t>CABLE SET MIPPDP</t>
  </si>
  <si>
    <t>0973545003900EQ00_A2</t>
  </si>
  <si>
    <t>jgdelapena / sriol</t>
  </si>
  <si>
    <t>Se genera OP de retrofit por trazabilidad. 
Ya está resuelto</t>
  </si>
  <si>
    <t>0973545036200-R</t>
  </si>
  <si>
    <t>Cable suelto en el P7 // Esto es una reparación no es un reproceso.</t>
  </si>
  <si>
    <t>OVDHDP</t>
  </si>
  <si>
    <t>0973525190300EQ00_A3</t>
  </si>
  <si>
    <t>jgdelapena / sriol / adalvarezm</t>
  </si>
  <si>
    <t>OP en montaje / El 1214890290020_ACC PIN H #20 7,5A CRIMP CNC CIR M39029 se coge de KARDEX.
Correo enviado 12/11</t>
  </si>
  <si>
    <t>0973545009200-R</t>
  </si>
  <si>
    <t>0972845009200EQ00_A2
0973545009200LM00_A1</t>
  </si>
  <si>
    <t>OP en montaje.                                                                                                                                                       El cable se fabricó pequeño, la LM corregida esta ya en SAP con el tamaño correcto de cable. Seria hacer retrofit del cable reutilizando el conector que ya esta puesto (P1 y P2).</t>
  </si>
  <si>
    <t>0973545020209-R</t>
  </si>
  <si>
    <t>0973545020209EQ00_A3 0973545020209LM00_A2</t>
  </si>
  <si>
    <r>
      <rPr>
        <sz val="9"/>
        <color rgb="FFFF0000"/>
        <rFont val="Calibri"/>
        <family val="2"/>
        <scheme val="minor"/>
      </rPr>
      <t xml:space="preserve">01/12: Han cargado mal la cantidad del cable, en total son 8 metros. Se vuelve a solicitar a Cabanillas la cantidad correcta.     </t>
    </r>
    <r>
      <rPr>
        <sz val="9"/>
        <color rgb="FF000000"/>
        <rFont val="Calibri"/>
        <family val="2"/>
        <scheme val="minor"/>
      </rPr>
      <t xml:space="preserve">                                         OP en montaje.                                                                                                             Volver a rehacer el cable con las medidas correctas.</t>
    </r>
  </si>
  <si>
    <t>A08W141</t>
  </si>
  <si>
    <t>0973544330176LM00_A1
0973524330100DE00_A3</t>
  </si>
  <si>
    <t xml:space="preserve">
Nuevo cable A08W141.</t>
  </si>
  <si>
    <t>0973524330100DE00_A3</t>
  </si>
  <si>
    <t xml:space="preserve">
18/11: Revisar correo enviado OP retrofit redes</t>
  </si>
  <si>
    <t>0973524200600LM00_A3
0973524200600EQ00_A4
0973524200600DE00_A3</t>
  </si>
  <si>
    <t>0973524000100DE00_A1
0973524000100DI00_A2</t>
  </si>
  <si>
    <t>23/01: Los trabajos se realizaron la semana pasada, consistían en realizar cambio de etiquetas, por lo que es correcto que no haya material cargado.
18/11: Revisar correo enviado OP retrofit redes</t>
  </si>
  <si>
    <t>0973524070200-R</t>
  </si>
  <si>
    <t>W810 CABLE SET ETH DISPLAY UNITS</t>
  </si>
  <si>
    <t>0973524070200DE00_A3</t>
  </si>
  <si>
    <t>0973545038000-R</t>
  </si>
  <si>
    <t>0973545038000EQ00_A1
0973545038000LM00_A2</t>
  </si>
  <si>
    <t xml:space="preserve">
03/12 El conector se ha quedado montado
02/12: Falta subir  la LM A2. El conector ya se ha acopiado por compra directa y se va a montar. No es necesario acopiar nada en la Op de retrofit. </t>
  </si>
  <si>
    <t>3/12 Se ha montado, solo falta pegar etiqueta serial number cuando se genere hoja de ruta
No es necesario acopiar nada, en la hoja de ruta es necesario que aparezca el S/N.</t>
  </si>
  <si>
    <t>0973545003800-R</t>
  </si>
  <si>
    <t>0973545003800LM00_A0 0973545003800EQ00_A2</t>
  </si>
  <si>
    <t>16/03:  EQ00_A2 en SAP estado en rojo erroneo
9-01-26 La modificación se queda hecha a falta de la hoja de ruta para firmar y pasar calidad.
ING: se hace el cambio en el cable ya instalado, no desmontar. DOC en ICM
19/03 Indican que estan montadas Sin hacer OP</t>
  </si>
  <si>
    <t>0973525111100EQ00_A3 0973525111100LM00_A1 0973525111100DE00_A1</t>
  </si>
  <si>
    <t>HW:DOC en proceso PCI
23/02: Sin EQ00_A3
19/03 Indican que estan montadas Sin hacer OP
Lanzarlas sin material</t>
  </si>
  <si>
    <t>0973525140600EQ00_A4 0973525140700LM00_A0</t>
  </si>
  <si>
    <t>0973525140700EQ00_A4 0973525140700LM00_A0</t>
  </si>
  <si>
    <t>0973525140800EQ00_A5 0973525140800LM00_A0</t>
  </si>
  <si>
    <t>HW:DOC en proceso PCI
16/03: EQ00_A5 estado rojo en SAP
Lanzarlas sin material
19/03 Indican que estan montadas Sin hacer OP</t>
  </si>
  <si>
    <t>0973523060000.00-R</t>
  </si>
  <si>
    <t>22/01/2026. INSTALACIÓN
16/03 Sin LM 00_A1  , Sin DI00_A3 
19/03 Indican que estan montadas Sin hacer OP
Lanzarlas sin material</t>
  </si>
  <si>
    <t>0973543060100-R</t>
  </si>
  <si>
    <t>22/01/2026. SOLO CORREGIR ETIQUETAS, EL CABLE ESTÁ MONTADO.</t>
  </si>
  <si>
    <t>0973543060200-R</t>
  </si>
  <si>
    <t>22/01/2026 SOLO CORREGIR ETIQUETAS, EL CABLE ESTÁ MONTADO.</t>
  </si>
  <si>
    <t>0973543060300-R</t>
  </si>
  <si>
    <t>0973543060700-R</t>
  </si>
  <si>
    <t>W607</t>
  </si>
  <si>
    <t>0973543060700LM00_A0</t>
  </si>
  <si>
    <t>0973523062000.00-R</t>
  </si>
  <si>
    <r>
      <rPr>
        <sz val="9"/>
        <color rgb="FFFF0000"/>
        <rFont val="Calibri"/>
        <family val="2"/>
      </rPr>
      <t xml:space="preserve">10/02:Falta por corregir la LM (Correo enviado a Alex). </t>
    </r>
    <r>
      <rPr>
        <sz val="9"/>
        <color rgb="FF000000"/>
        <rFont val="Calibri"/>
        <family val="2"/>
      </rPr>
      <t xml:space="preserve">                                                                                                                                                                                              22/01/2026 SOLO CORREGIR ETIQUETAS, EL CABLE ESTÁ MONTADO.</t>
    </r>
  </si>
  <si>
    <t>0973543063000-R</t>
  </si>
  <si>
    <t>0973525030500.00-R</t>
  </si>
  <si>
    <t>0973525030500LM00_A1
0973525030500EQ00_A3</t>
  </si>
  <si>
    <r>
      <rPr>
        <sz val="9"/>
        <color theme="1"/>
        <rFont val="Calibri"/>
        <family val="2"/>
      </rPr>
      <t>06/04 Se deja la gaveta en Montaje, Jorge nos ha entregado la unidad y el conector.</t>
    </r>
    <r>
      <rPr>
        <sz val="9"/>
        <color rgb="FFFF0000"/>
        <rFont val="Calibri"/>
        <family val="2"/>
      </rPr>
      <t xml:space="preserve">
</t>
    </r>
    <r>
      <rPr>
        <sz val="9"/>
        <color rgb="FF000000"/>
        <rFont val="Calibri"/>
        <family val="2"/>
      </rPr>
      <t>Inclusión de un enchufe SCHUKO y la tornillería de sujeción</t>
    </r>
  </si>
  <si>
    <t>0973525060500.00-R</t>
  </si>
  <si>
    <t>HAND MIC SET FO</t>
  </si>
  <si>
    <t>0973525060500LM00_A1
0973525060500EQ00_A3</t>
  </si>
  <si>
    <r>
      <rPr>
        <sz val="9"/>
        <color rgb="FF000000"/>
        <rFont val="Calibri"/>
        <family val="2"/>
      </rPr>
      <t xml:space="preserve">23/02: Sin LM00_A1 en SAP. </t>
    </r>
    <r>
      <rPr>
        <sz val="9"/>
        <color rgb="FFFF0000"/>
        <rFont val="Calibri"/>
        <family val="2"/>
      </rPr>
      <t xml:space="preserve">HAY QUE CARGAR EL MISMO MATERIAL QUE EN LA OP 60008303 </t>
    </r>
    <r>
      <rPr>
        <sz val="9"/>
        <color rgb="FF000000"/>
        <rFont val="Calibri"/>
        <family val="2"/>
      </rPr>
      <t>(Inclusión de un enchufe SCHUKO y la tornillería de sujeción).
19/03 Indican que estan montadas Sin hacer OP</t>
    </r>
  </si>
  <si>
    <t>0973525300100EQ00_A2 0973525300100DE00_A1 0973525300100LM00_A2</t>
  </si>
  <si>
    <t>23/02:  Sin LM00_A2 en SAP
19/03 Indican que estan montadas Sin hacer OP
Lanzarlas sin material</t>
  </si>
  <si>
    <t>0973525310000LM00_A1
0973525310000DM00_A2</t>
  </si>
  <si>
    <t>DCB 08/04 Solicitado a cabanillas
Importante: consultar correo 08/04/2026 -&gt; solamente es necesario cargar las alfombras de seguridad. NO hay que comprarlas, sino traerlas de Cabanillas</t>
  </si>
  <si>
    <t>n</t>
  </si>
  <si>
    <t>Tipo Documento</t>
  </si>
  <si>
    <t>Descripción Incidencia</t>
  </si>
  <si>
    <t>Fecha Actualización SAP</t>
  </si>
  <si>
    <t>Version afectada</t>
  </si>
  <si>
    <t>Nueva version</t>
  </si>
  <si>
    <t>LM/DM</t>
  </si>
  <si>
    <t>EQ</t>
  </si>
  <si>
    <t xml:space="preserve">Es necesario clarificar cuales son los pines del conector 18RN5. </t>
  </si>
  <si>
    <r>
      <rPr>
        <sz val="16"/>
        <color rgb="FF000000"/>
        <rFont val="Neo Sans"/>
        <family val="2"/>
      </rPr>
      <t xml:space="preserve">Pendiente actualizar en SAP. 
</t>
    </r>
    <r>
      <rPr>
        <b/>
        <sz val="16"/>
        <color rgb="FFED7D31"/>
        <rFont val="Neo Sans"/>
        <family val="2"/>
      </rPr>
      <t>jgdelapena: Documento necesita PCI para poder subir nueva versión</t>
    </r>
  </si>
  <si>
    <t>A2</t>
  </si>
  <si>
    <r>
      <rPr>
        <sz val="16"/>
        <color rgb="FF000000"/>
        <rFont val="Neo Sans"/>
        <family val="2"/>
      </rPr>
      <t xml:space="preserve">Se añaden los tornillos, a falta de subir a SAP cuando se pruebe los elementos
</t>
    </r>
    <r>
      <rPr>
        <b/>
        <sz val="16"/>
        <color rgb="FFED7D31"/>
        <rFont val="Neo Sans"/>
        <family val="2"/>
      </rPr>
      <t>jgdelapena 10/09:
Mecánica</t>
    </r>
  </si>
  <si>
    <t>EQ/DE/LM</t>
  </si>
  <si>
    <t>EQ/LM/DE</t>
  </si>
  <si>
    <t>A3</t>
  </si>
  <si>
    <t>LM/EQ</t>
  </si>
  <si>
    <t>DE/EQ/LM</t>
  </si>
  <si>
    <t>LM</t>
  </si>
  <si>
    <t xml:space="preserve">¿Requiere fabricación? Considerar eliminarlo como elemento de farbicación y dejarlo como acopio externo. </t>
  </si>
  <si>
    <t>LM/DI/DM</t>
  </si>
  <si>
    <t>EQ/LM</t>
  </si>
  <si>
    <t>LM/DE</t>
  </si>
  <si>
    <t>EQ/DE</t>
  </si>
  <si>
    <t xml:space="preserve">Falta definir como va la EMERGENCY AXE. </t>
  </si>
  <si>
    <t xml:space="preserve">ºRediseñar la conexión USB del RTIA ASSY con el RTIO COM ASSY, añadiendo un pasamuros. </t>
  </si>
  <si>
    <t>jgdelapena 09/09: Ya instalado</t>
  </si>
  <si>
    <t xml:space="preserve">Incluir en la LM la tornillería que sujetan las abrazaderas del extintor civil a la pared y definir su posicion exacta así como la fijación y posición del cartel correspondiente. </t>
  </si>
  <si>
    <t xml:space="preserve">Incluir en la LM la tornillería que sujetan el AFTOUT EMO (seta de emergencia) a la pared. </t>
  </si>
  <si>
    <t xml:space="preserve">El componente H10 se ha instalado en el armario 2. Eliminar de la LM y DM. </t>
  </si>
  <si>
    <t>En el EQ las referencias topológicas no hacen referencia a la LM del rack, sin embargo si hacen referencia a la LM del Cable Set EEQ#1. Considerar incluir estos cables en la LM del rack y eliminar Cable Set EEQ#1, incluir en el EQ el cable H4.</t>
  </si>
  <si>
    <t>No se especifica en enrutado del cableado del EQ.</t>
  </si>
  <si>
    <t>DM</t>
  </si>
  <si>
    <t xml:space="preserve">H9 - No se indica ubicación. </t>
  </si>
  <si>
    <t>LM/DE/EQ</t>
  </si>
  <si>
    <t>LM/DI</t>
  </si>
  <si>
    <r>
      <rPr>
        <sz val="16"/>
        <color rgb="FF000000"/>
        <rFont val="Neo Sans"/>
        <family val="2"/>
      </rPr>
      <t xml:space="preserve">Resuelto. Pendiente finalizar unidad para actualizar documentación. 
11/02: No se ha resuelto, sigue sin existir un plano con este código. Además se han añadido nuevos comentarios.
</t>
    </r>
    <r>
      <rPr>
        <b/>
        <sz val="16"/>
        <color rgb="FFED7D31"/>
        <rFont val="Neo Sans"/>
        <family val="2"/>
      </rPr>
      <t>jgdelapena 10/09/2025: subido plano a ICM</t>
    </r>
  </si>
  <si>
    <t>A4</t>
  </si>
  <si>
    <t>DI</t>
  </si>
  <si>
    <t>DI/LM/DE</t>
  </si>
  <si>
    <t>Revisar el titulo de esta OP. Segun la documentacion hace referencia a CABLE SET RTIO. 
Incluir las fijaciones y los mecanizados necesarios para fijar los conectores del mazo W427. Detalles insuficientes, considerar incluir nuevos detalles de la ubicacion (cotas) de los conectores. 
Es necesario definir el enrutado de los cables, considerar crear un plano especifico para esto.</t>
  </si>
  <si>
    <r>
      <rPr>
        <sz val="16"/>
        <color rgb="FF000000"/>
        <rFont val="Neo Sans"/>
        <family val="2"/>
      </rPr>
      <t xml:space="preserve">Se solicita el cambio de nombre para el codigo. Fakta definir la posicion final del mazo W423, 424 y W425
</t>
    </r>
    <r>
      <rPr>
        <b/>
        <sz val="16"/>
        <color rgb="FFED7D31"/>
        <rFont val="Neo Sans"/>
        <family val="2"/>
      </rPr>
      <t>jgdelapena 09/09: Escrito a ingeniería de componentes para corregir el nombre</t>
    </r>
  </si>
  <si>
    <t xml:space="preserve">Multiples incongruencias, es necesario hacer una revision completa y en detalle de este equipo. </t>
  </si>
  <si>
    <t xml:space="preserve">Falta el enrutado de los mazos. 
Falta un mazo. </t>
  </si>
  <si>
    <t xml:space="preserve">Falta el enrutado de lso mazos. </t>
  </si>
  <si>
    <t>DE</t>
  </si>
  <si>
    <r>
      <t xml:space="preserve">jgdelapena 09/09: considerar hacer un plano mecánico con medidas de la mesa
</t>
    </r>
    <r>
      <rPr>
        <b/>
        <sz val="16"/>
        <color theme="5"/>
        <rFont val="Neo Sans"/>
        <family val="2"/>
      </rPr>
      <t>Subido a ICM la última versión de la LM - A1</t>
    </r>
  </si>
  <si>
    <t xml:space="preserve">Considerar eliminar esta Op e incluir su elemento en el padre. </t>
  </si>
  <si>
    <t>En el caso del MIPDP, blower, EXT USBs, los detectores de humos... incluir fijaciones y mecanizados si son necesarios.</t>
  </si>
  <si>
    <t>jgdelapena 10/09/2025:
¿Mecánica?</t>
  </si>
  <si>
    <t xml:space="preserve">Para el blower se han usado 4 tornillos 6x30, arandela y grove. </t>
  </si>
  <si>
    <t>DM/LM</t>
  </si>
  <si>
    <t>multiples incongruencias</t>
  </si>
  <si>
    <r>
      <rPr>
        <i/>
        <sz val="16"/>
        <color rgb="FFED7D31"/>
        <rFont val="Neo Sans"/>
        <family val="2"/>
      </rPr>
      <t xml:space="preserve">jgdelapena 09/09: 
Indicar los paneles que necesitan tornillería para los conectores, pues irá en la unidad, no en el cable
</t>
    </r>
    <r>
      <rPr>
        <b/>
        <u/>
        <sz val="16"/>
        <color rgb="FFED7D31"/>
        <rFont val="Neo Sans"/>
        <family val="2"/>
      </rPr>
      <t xml:space="preserve">MECÁNICA
</t>
    </r>
    <r>
      <rPr>
        <i/>
        <sz val="16"/>
        <color rgb="FFED7D31"/>
        <rFont val="Neo Sans"/>
        <family val="2"/>
      </rPr>
      <t xml:space="preserve">
</t>
    </r>
    <r>
      <rPr>
        <b/>
        <i/>
        <sz val="16"/>
        <color rgb="FFED7D31"/>
        <rFont val="Neo Sans"/>
        <family val="2"/>
      </rPr>
      <t>W039 corregido
W070 no está, no existe el cable</t>
    </r>
  </si>
  <si>
    <t xml:space="preserve">Cable demasiado rigido. Considerar unificar los cables de alimentación de las dos TFTs en uno solo y añadir un adaptador comercial en "Y"
Cambiar manguera y conectores. 
Revisar longitud, considerar reducir 2 metros. </t>
  </si>
  <si>
    <t>jgdelapena 10/09: especificar cable a cambiar y código INDRA, pf</t>
  </si>
  <si>
    <t>CLosed</t>
  </si>
  <si>
    <t>jgdelapena 29/09/2025: 
Mecánica</t>
  </si>
  <si>
    <t>Este conjunto de cables no cuenta con el DI correspondiente.</t>
  </si>
  <si>
    <t>adalvarezm/jdlapena</t>
  </si>
  <si>
    <t xml:space="preserve">  EstRev</t>
  </si>
  <si>
    <t>Cl.</t>
  </si>
  <si>
    <t xml:space="preserve">Documento             </t>
  </si>
  <si>
    <t>DPa</t>
  </si>
  <si>
    <t>Vs</t>
  </si>
  <si>
    <t xml:space="preserve">Descripción                             </t>
  </si>
  <si>
    <t>DMS: Area Organizativa</t>
  </si>
  <si>
    <t>St</t>
  </si>
  <si>
    <t>L/O</t>
  </si>
  <si>
    <t>DMS: Fecha Documento</t>
  </si>
  <si>
    <t>DMS: Fecha Registro</t>
  </si>
  <si>
    <t>DMS: tipo de documento</t>
  </si>
  <si>
    <t>Txt.status</t>
  </si>
  <si>
    <t>DMS: Estado WF</t>
  </si>
  <si>
    <t>PetBor</t>
  </si>
  <si>
    <t>DMS: Fecha Inicio</t>
  </si>
  <si>
    <t>DMS: Fecha Fin</t>
  </si>
  <si>
    <t>DMS: Estado CC</t>
  </si>
  <si>
    <t>DMS: Tipo WorkFlow</t>
  </si>
  <si>
    <t xml:space="preserve">DMS: Usuario Preparación    </t>
  </si>
  <si>
    <t xml:space="preserve">DMS: Usuario Revisión      </t>
  </si>
  <si>
    <t xml:space="preserve">DMS: Usuario Aprobacion     </t>
  </si>
  <si>
    <t>DMS: Usuario Autorizacion</t>
  </si>
  <si>
    <t xml:space="preserve">DMS: Usuario Registro         </t>
  </si>
  <si>
    <t>DMS: Fecha Preparación</t>
  </si>
  <si>
    <t>DMS: Fecha Revisado</t>
  </si>
  <si>
    <t>DMS: Fecha Aprobado</t>
  </si>
  <si>
    <t>DMS: Fecha Autorización</t>
  </si>
  <si>
    <t>Responsab.</t>
  </si>
  <si>
    <t>0973523305100</t>
  </si>
  <si>
    <t xml:space="preserve">X       </t>
  </si>
  <si>
    <t>ZDC</t>
  </si>
  <si>
    <t>D-0973523305100.00LM00</t>
  </si>
  <si>
    <t xml:space="preserve">A  </t>
  </si>
  <si>
    <t xml:space="preserve">0973523305100.00 VACUUM CONTROLLER BOX  </t>
  </si>
  <si>
    <t>RR</t>
  </si>
  <si>
    <t>ICA</t>
  </si>
  <si>
    <t xml:space="preserve">26.02.2025          </t>
  </si>
  <si>
    <t xml:space="preserve">17.03.2025         </t>
  </si>
  <si>
    <t xml:space="preserve">LM                    </t>
  </si>
  <si>
    <t>Registrado</t>
  </si>
  <si>
    <t xml:space="preserve">Terminado     </t>
  </si>
  <si>
    <t xml:space="preserve">      </t>
  </si>
  <si>
    <t xml:space="preserve">17.03.2025       </t>
  </si>
  <si>
    <t xml:space="preserve">31.12.9999    </t>
  </si>
  <si>
    <t xml:space="preserve">Registrado    </t>
  </si>
  <si>
    <t xml:space="preserve">WF de 5 Firmas    </t>
  </si>
  <si>
    <t xml:space="preserve">Sara Martínez               </t>
  </si>
  <si>
    <t xml:space="preserve">Alex Almandoz              </t>
  </si>
  <si>
    <t xml:space="preserve">Raúl Ochoa               </t>
  </si>
  <si>
    <t>Laura María Fernández de la Pu</t>
  </si>
  <si>
    <t xml:space="preserve">17.03.2025            </t>
  </si>
  <si>
    <t xml:space="preserve">17.03.2025             </t>
  </si>
  <si>
    <t xml:space="preserve">D-0973524420000LM00   </t>
  </si>
  <si>
    <t xml:space="preserve">0973524420000 CABLE SET FIRE DETECTION  </t>
  </si>
  <si>
    <t xml:space="preserve">17.03.2025          </t>
  </si>
  <si>
    <t xml:space="preserve">26.03.2025         </t>
  </si>
  <si>
    <t xml:space="preserve">26.03.2025       </t>
  </si>
  <si>
    <t xml:space="preserve">11.08.2025    </t>
  </si>
  <si>
    <t xml:space="preserve">Jorge González             </t>
  </si>
  <si>
    <t xml:space="preserve">26.03.2025            </t>
  </si>
  <si>
    <t xml:space="preserve">26.03.2025             </t>
  </si>
  <si>
    <t>0973525030000</t>
  </si>
  <si>
    <t>D-0973525030000.00LM00</t>
  </si>
  <si>
    <t xml:space="preserve">0973525030000.00 LEFT CONSOLE           </t>
  </si>
  <si>
    <t xml:space="preserve">02.06.2025          </t>
  </si>
  <si>
    <t xml:space="preserve">02.06.2025         </t>
  </si>
  <si>
    <t xml:space="preserve">02.06.2025       </t>
  </si>
  <si>
    <t xml:space="preserve">David Pareja Nieto          </t>
  </si>
  <si>
    <t xml:space="preserve">David Pareja Nieto         </t>
  </si>
  <si>
    <t xml:space="preserve">ÁNGEL DAVID ÁLVAREZ MORALES </t>
  </si>
  <si>
    <t xml:space="preserve">02.06.2025            </t>
  </si>
  <si>
    <t xml:space="preserve">02.06.2025             </t>
  </si>
  <si>
    <t>0973525060000</t>
  </si>
  <si>
    <t>D-0973525060000.00LM00</t>
  </si>
  <si>
    <t xml:space="preserve">0973525060000.00 RIGHT CONSOLE          </t>
  </si>
  <si>
    <t xml:space="preserve">15.01.2025          </t>
  </si>
  <si>
    <t xml:space="preserve">20.01.2025         </t>
  </si>
  <si>
    <t xml:space="preserve">20.01.2025       </t>
  </si>
  <si>
    <t xml:space="preserve">20.01.2025            </t>
  </si>
  <si>
    <t xml:space="preserve">20.01.2025             </t>
  </si>
  <si>
    <t>0973525072400</t>
  </si>
  <si>
    <t>D-0973525072400.00LM00</t>
  </si>
  <si>
    <t xml:space="preserve">0973525072400.00 LANDING GEAR CONTROL &amp; </t>
  </si>
  <si>
    <t xml:space="preserve">VERÓNICA HOLGADO            </t>
  </si>
  <si>
    <t xml:space="preserve">VERÓNICA HOLGADO           </t>
  </si>
  <si>
    <t>0973525091800</t>
  </si>
  <si>
    <t>D-0973525091800.00LM00</t>
  </si>
  <si>
    <t xml:space="preserve">0973525091800.00 COCKPIT DOOR PANEL     </t>
  </si>
  <si>
    <t xml:space="preserve">10.04.2025    </t>
  </si>
  <si>
    <t>0973525092100</t>
  </si>
  <si>
    <t>D-0973525092100.00LM00</t>
  </si>
  <si>
    <t xml:space="preserve">0973525092100.00 SWITCHING PANEL        </t>
  </si>
  <si>
    <t>0973525110100</t>
  </si>
  <si>
    <t>D-0973525110100.00LM00</t>
  </si>
  <si>
    <t xml:space="preserve">0973525110100.00 LEFT LATERAL PANEL     </t>
  </si>
  <si>
    <t xml:space="preserve">10.03.2025          </t>
  </si>
  <si>
    <t xml:space="preserve">31.07.2025    </t>
  </si>
  <si>
    <t xml:space="preserve">Miguel Gómez               </t>
  </si>
  <si>
    <t>0973525110200</t>
  </si>
  <si>
    <t>D-0973525110200.00LM00</t>
  </si>
  <si>
    <t xml:space="preserve">0973525110200.00 RIGHT LATERAL PANEL    </t>
  </si>
  <si>
    <t xml:space="preserve">28.07.2025          </t>
  </si>
  <si>
    <t xml:space="preserve">29.07.2025         </t>
  </si>
  <si>
    <t xml:space="preserve">29.07.2025       </t>
  </si>
  <si>
    <t xml:space="preserve">24.09.2025    </t>
  </si>
  <si>
    <t xml:space="preserve">Eva Rodríguez Torres        </t>
  </si>
  <si>
    <t xml:space="preserve">29.07.2025            </t>
  </si>
  <si>
    <t xml:space="preserve">29.07.2025             </t>
  </si>
  <si>
    <t xml:space="preserve">24.09.2025          </t>
  </si>
  <si>
    <t xml:space="preserve">24.09.2025         </t>
  </si>
  <si>
    <t xml:space="preserve">24.09.2025       </t>
  </si>
  <si>
    <t xml:space="preserve">María Agustina Acha         </t>
  </si>
  <si>
    <t xml:space="preserve">María Agustina Acha        </t>
  </si>
  <si>
    <t xml:space="preserve">Jorge González              </t>
  </si>
  <si>
    <t xml:space="preserve">24.09.2025            </t>
  </si>
  <si>
    <t xml:space="preserve">24.09.2025             </t>
  </si>
  <si>
    <t>0973525110300</t>
  </si>
  <si>
    <t>D-0973525110300.00LM00</t>
  </si>
  <si>
    <t>0973525110300.00 LEFT FLIGHT CONTROL PAN</t>
  </si>
  <si>
    <t xml:space="preserve">Miguel Gómez                </t>
  </si>
  <si>
    <t>0973525140100</t>
  </si>
  <si>
    <t>D-0973525140100.00LM00</t>
  </si>
  <si>
    <t xml:space="preserve">0973525140100.00 REAR CB PANEL#1        </t>
  </si>
  <si>
    <t xml:space="preserve">CLARA ISABEL GOMEZ          </t>
  </si>
  <si>
    <t xml:space="preserve">CLARA ISABEL GOMEZ         </t>
  </si>
  <si>
    <t>0973525140200</t>
  </si>
  <si>
    <t>D-0973525140200.00LM00</t>
  </si>
  <si>
    <t xml:space="preserve">0973525140200.00 REAR CB PANEL#2        </t>
  </si>
  <si>
    <t>0973525180000</t>
  </si>
  <si>
    <t>D-0973525180000.00LM00</t>
  </si>
  <si>
    <t xml:space="preserve">0973525180000.00 AFTERCABIN             </t>
  </si>
  <si>
    <t xml:space="preserve">17.03.2025    </t>
  </si>
  <si>
    <t xml:space="preserve">Miguel Martínez Cardador    </t>
  </si>
  <si>
    <t xml:space="preserve">Miguel Martínez Cardador   </t>
  </si>
  <si>
    <t>0973525190600</t>
  </si>
  <si>
    <t>D-0973525190600.00LM00</t>
  </si>
  <si>
    <t xml:space="preserve">0973525190600.00 RTIO COM ASSY          </t>
  </si>
  <si>
    <t xml:space="preserve">15.07.2025          </t>
  </si>
  <si>
    <t xml:space="preserve">31.07.2025         </t>
  </si>
  <si>
    <t xml:space="preserve">31.07.2025       </t>
  </si>
  <si>
    <t xml:space="preserve">Sara Martínez              </t>
  </si>
  <si>
    <t xml:space="preserve">31.07.2025            </t>
  </si>
  <si>
    <t xml:space="preserve">31.07.2025             </t>
  </si>
  <si>
    <t>0973525203200</t>
  </si>
  <si>
    <t>D-0973525203200.00LM00</t>
  </si>
  <si>
    <t xml:space="preserve">0973525203200.00 NUC TRAY ASSY          </t>
  </si>
  <si>
    <t xml:space="preserve">08.07.2025          </t>
  </si>
  <si>
    <t xml:space="preserve">11.07.2025         </t>
  </si>
  <si>
    <t xml:space="preserve">11.07.2025       </t>
  </si>
  <si>
    <t xml:space="preserve">11.07.2025            </t>
  </si>
  <si>
    <t xml:space="preserve">11.07.2025             </t>
  </si>
  <si>
    <t>0973525210000</t>
  </si>
  <si>
    <t>D-0973525210000.00LM00</t>
  </si>
  <si>
    <t xml:space="preserve">0973525210000.00 ELECTRONIC EQUIP #3    </t>
  </si>
  <si>
    <t xml:space="preserve">Leonardo Carrera Bloise     </t>
  </si>
  <si>
    <t>0973525220400</t>
  </si>
  <si>
    <t>D-0973525220400.00LM00</t>
  </si>
  <si>
    <t>0973525220400.00 SERVO APLIFIERS UNIT #1</t>
  </si>
  <si>
    <t xml:space="preserve">Alicia Niebla               </t>
  </si>
  <si>
    <t>0973525224000</t>
  </si>
  <si>
    <t>D-0973525224000.00LM00</t>
  </si>
  <si>
    <t xml:space="preserve">0973525224000.00 EEQ DIST BOX#2         </t>
  </si>
  <si>
    <t xml:space="preserve">23.01.2025         </t>
  </si>
  <si>
    <t xml:space="preserve">23.01.2025       </t>
  </si>
  <si>
    <t xml:space="preserve">23.01.2025            </t>
  </si>
  <si>
    <t xml:space="preserve">23.01.2025             </t>
  </si>
  <si>
    <t>0973525295100</t>
  </si>
  <si>
    <t>D-0973525295100.00LM00</t>
  </si>
  <si>
    <t xml:space="preserve">0973525295100.00 VENTANA CAMARAS        </t>
  </si>
  <si>
    <t xml:space="preserve">04.06.2025         </t>
  </si>
  <si>
    <t xml:space="preserve">04.06.2025       </t>
  </si>
  <si>
    <t xml:space="preserve">Adrián Gama                 </t>
  </si>
  <si>
    <t xml:space="preserve">04.06.2025            </t>
  </si>
  <si>
    <t xml:space="preserve">04.06.2025             </t>
  </si>
  <si>
    <t>0973525310100</t>
  </si>
  <si>
    <t>D-0973525310100.00LM00</t>
  </si>
  <si>
    <t>0973525310100.00 DRAWBRIDGE CTRL UNIT (D</t>
  </si>
  <si>
    <t xml:space="preserve">01.10.2025    </t>
  </si>
  <si>
    <t>0973525334600</t>
  </si>
  <si>
    <t>D-0973525334600.00LM00</t>
  </si>
  <si>
    <t xml:space="preserve">0973525334600.00 RACK POWER BOX         </t>
  </si>
  <si>
    <t xml:space="preserve">07.07.2025          </t>
  </si>
  <si>
    <t xml:space="preserve">23.09.2025    </t>
  </si>
  <si>
    <t xml:space="preserve">D-0973525420100LM00   </t>
  </si>
  <si>
    <t xml:space="preserve">0973525420100 I/O MODULES BOX           </t>
  </si>
  <si>
    <t xml:space="preserve">08.09.2025    </t>
  </si>
  <si>
    <t xml:space="preserve">Vicente Jesús Cuevas Mora   </t>
  </si>
  <si>
    <t xml:space="preserve">Vicente Jesús Cuevas Mora  </t>
  </si>
  <si>
    <t>0973528030200</t>
  </si>
  <si>
    <t xml:space="preserve">D-0973528030200LM00   </t>
  </si>
  <si>
    <t>0973528030200 INSTALACION PLATAFORMA MOV</t>
  </si>
  <si>
    <t xml:space="preserve">30.09.2025          </t>
  </si>
  <si>
    <t xml:space="preserve">01.10.2025         </t>
  </si>
  <si>
    <t xml:space="preserve">01.10.2025       </t>
  </si>
  <si>
    <t>ADRIAN GOMEZ HIDALGO SANCHEZ</t>
  </si>
  <si>
    <t xml:space="preserve">Alicia Niebla              </t>
  </si>
  <si>
    <t xml:space="preserve">01.10.2025            </t>
  </si>
  <si>
    <t xml:space="preserve">01.10.2025             </t>
  </si>
  <si>
    <t>0973528169100</t>
  </si>
  <si>
    <t xml:space="preserve">D-0973528169100LM00   </t>
  </si>
  <si>
    <t xml:space="preserve">AS </t>
  </si>
  <si>
    <t xml:space="preserve">0973528169100 SMOKE TEMP ASSY           </t>
  </si>
  <si>
    <t xml:space="preserve">14.10.2025          </t>
  </si>
  <si>
    <t xml:space="preserve">15.10.2025         </t>
  </si>
  <si>
    <t xml:space="preserve">15.10.2025       </t>
  </si>
  <si>
    <t xml:space="preserve">EMILIO BUENO RIVERA         </t>
  </si>
  <si>
    <t xml:space="preserve">EMILIO BUENO RIVERA        </t>
  </si>
  <si>
    <t xml:space="preserve">Jesús Gregorio del Valle    </t>
  </si>
  <si>
    <t xml:space="preserve">15.10.2025            </t>
  </si>
  <si>
    <t xml:space="preserve">15.10.2025             </t>
  </si>
  <si>
    <t>0973528169200</t>
  </si>
  <si>
    <t xml:space="preserve">D-0973528169200LM00   </t>
  </si>
  <si>
    <t xml:space="preserve">0973528169200 SMOKE TEMP TH ASSY        </t>
  </si>
  <si>
    <t xml:space="preserve">D-0973543060400LM00   </t>
  </si>
  <si>
    <t xml:space="preserve">0973543060400 W604                      </t>
  </si>
  <si>
    <t xml:space="preserve">JUAN MANUEL FERNANDEZ BUENO </t>
  </si>
  <si>
    <t>JUAN MANUEL FERNANDEZ BUENO</t>
  </si>
  <si>
    <t xml:space="preserve">Alex Almandoz               </t>
  </si>
  <si>
    <t xml:space="preserve">D-0973543060500LM00   </t>
  </si>
  <si>
    <t xml:space="preserve">0973543060500 W605                      </t>
  </si>
  <si>
    <t xml:space="preserve">D-0973543060600LM00   </t>
  </si>
  <si>
    <t xml:space="preserve">0973543060600 W606                      </t>
  </si>
  <si>
    <t xml:space="preserve">D-0973543062900LM00   </t>
  </si>
  <si>
    <t xml:space="preserve">0973543062900 W629                      </t>
  </si>
  <si>
    <t xml:space="preserve">D-0973543063000LM00   </t>
  </si>
  <si>
    <t xml:space="preserve">0973543063000 W630                      </t>
  </si>
  <si>
    <t xml:space="preserve">D-0973543064100LM00   </t>
  </si>
  <si>
    <t xml:space="preserve">0973543064100 W641                      </t>
  </si>
  <si>
    <t xml:space="preserve">D-0973543064200LM00   </t>
  </si>
  <si>
    <t xml:space="preserve">0973543064200 W642                      </t>
  </si>
  <si>
    <t xml:space="preserve">D-0973543064500LM00   </t>
  </si>
  <si>
    <t xml:space="preserve">0973543064500 W645                      </t>
  </si>
  <si>
    <t xml:space="preserve">D-0973543064600LM00   </t>
  </si>
  <si>
    <t xml:space="preserve">0973543064600 W646                      </t>
  </si>
  <si>
    <t xml:space="preserve">D-0973543064700LM00   </t>
  </si>
  <si>
    <t xml:space="preserve">0973543064700 W647                      </t>
  </si>
  <si>
    <t xml:space="preserve">D-0973543064900LM00   </t>
  </si>
  <si>
    <t xml:space="preserve">0973543064900 W649                      </t>
  </si>
  <si>
    <t xml:space="preserve">D-0973543065000LM00   </t>
  </si>
  <si>
    <t xml:space="preserve">0973543065000 W650                      </t>
  </si>
  <si>
    <t xml:space="preserve">D-0973543065100LM00   </t>
  </si>
  <si>
    <t xml:space="preserve">0973543065100 W651                      </t>
  </si>
  <si>
    <t xml:space="preserve">D-0973543068800LM00   </t>
  </si>
  <si>
    <t xml:space="preserve">0973543068800 W688                      </t>
  </si>
  <si>
    <t xml:space="preserve">02.07.2025          </t>
  </si>
  <si>
    <t xml:space="preserve">D-0973543068900LM00   </t>
  </si>
  <si>
    <t xml:space="preserve">0973543068900 W689                      </t>
  </si>
  <si>
    <t xml:space="preserve">D-0973543069000LM00   </t>
  </si>
  <si>
    <t xml:space="preserve">0973543069000 W690                      </t>
  </si>
  <si>
    <t xml:space="preserve">D-0973543069100LM00   </t>
  </si>
  <si>
    <t xml:space="preserve">0973543069100 W691                      </t>
  </si>
  <si>
    <t xml:space="preserve">D-0973544000134LM00   </t>
  </si>
  <si>
    <t xml:space="preserve">0973544000134 W134                      </t>
  </si>
  <si>
    <t xml:space="preserve">19.03.2025         </t>
  </si>
  <si>
    <t xml:space="preserve">19.03.2025       </t>
  </si>
  <si>
    <t xml:space="preserve">Fernando Marquina           </t>
  </si>
  <si>
    <t xml:space="preserve">Fernando Marquina          </t>
  </si>
  <si>
    <t xml:space="preserve">19.03.2025            </t>
  </si>
  <si>
    <t xml:space="preserve">19.03.2025             </t>
  </si>
  <si>
    <t xml:space="preserve">D-0973544000135LM00   </t>
  </si>
  <si>
    <t xml:space="preserve">0973544000135 W135                      </t>
  </si>
  <si>
    <t xml:space="preserve">D-0973544190600LM00   </t>
  </si>
  <si>
    <t xml:space="preserve">0973544190600 PWR LEFT FWD PWR STRIP    </t>
  </si>
  <si>
    <t xml:space="preserve">21.11.2024          </t>
  </si>
  <si>
    <t xml:space="preserve">26.11.2024         </t>
  </si>
  <si>
    <t xml:space="preserve">26.11.2024       </t>
  </si>
  <si>
    <t xml:space="preserve">29.01.2025    </t>
  </si>
  <si>
    <t xml:space="preserve">26.11.2024            </t>
  </si>
  <si>
    <t xml:space="preserve">26.11.2024             </t>
  </si>
  <si>
    <t xml:space="preserve">D-0973544200601LM00   </t>
  </si>
  <si>
    <t xml:space="preserve">0973544200601 A0202W15                  </t>
  </si>
  <si>
    <t xml:space="preserve">28.11.2024         </t>
  </si>
  <si>
    <t xml:space="preserve">28.11.2024       </t>
  </si>
  <si>
    <t xml:space="preserve">28.11.2024            </t>
  </si>
  <si>
    <t xml:space="preserve">28.11.2024             </t>
  </si>
  <si>
    <t xml:space="preserve">D-0973544200602LM00   </t>
  </si>
  <si>
    <t xml:space="preserve">0973544200602 A0202W16                  </t>
  </si>
  <si>
    <t xml:space="preserve">D-0973544200603LM00   </t>
  </si>
  <si>
    <t xml:space="preserve">0973544200603 A0202W17                  </t>
  </si>
  <si>
    <t xml:space="preserve">D-0973544200604LM00   </t>
  </si>
  <si>
    <t xml:space="preserve">0973544200604 A0202W18                  </t>
  </si>
  <si>
    <t xml:space="preserve">D-0973544200605LM00   </t>
  </si>
  <si>
    <t xml:space="preserve">0973544200605 A0202W19                  </t>
  </si>
  <si>
    <t xml:space="preserve">D-0973544200615LM00   </t>
  </si>
  <si>
    <t xml:space="preserve">0973544200615 A0202W28                  </t>
  </si>
  <si>
    <t xml:space="preserve">D-0973544200616LM00   </t>
  </si>
  <si>
    <t xml:space="preserve">0973544200616 A0202W29                  </t>
  </si>
  <si>
    <t xml:space="preserve">D-0973544200617LM00   </t>
  </si>
  <si>
    <t xml:space="preserve">0973544200617 A0202W30                  </t>
  </si>
  <si>
    <t xml:space="preserve">D-0973544200618LM00   </t>
  </si>
  <si>
    <t xml:space="preserve">0973544200618 A0202W31                  </t>
  </si>
  <si>
    <t xml:space="preserve">D-0973544200619LM00   </t>
  </si>
  <si>
    <t xml:space="preserve">0973544200619 A0202W32                  </t>
  </si>
  <si>
    <t xml:space="preserve">D-0973544200620LM00   </t>
  </si>
  <si>
    <t xml:space="preserve">0973544200620 A0202W33                  </t>
  </si>
  <si>
    <t xml:space="preserve">D-0973544200622LM00   </t>
  </si>
  <si>
    <t xml:space="preserve">0973544200622 A0202W35                  </t>
  </si>
  <si>
    <t xml:space="preserve">D-0973544200623LM00   </t>
  </si>
  <si>
    <t xml:space="preserve">0973544200623 A0202W36                  </t>
  </si>
  <si>
    <t xml:space="preserve">D-0973544200624LM00   </t>
  </si>
  <si>
    <t xml:space="preserve">0973544200624 A0202W37                  </t>
  </si>
  <si>
    <t xml:space="preserve">D-0973544200625LM00   </t>
  </si>
  <si>
    <t xml:space="preserve">0973544200625 A0202W38                  </t>
  </si>
  <si>
    <t xml:space="preserve">D-0973544300700LM00   </t>
  </si>
  <si>
    <t xml:space="preserve">0973544300700 A04W22                    </t>
  </si>
  <si>
    <t xml:space="preserve">10.10.2025         </t>
  </si>
  <si>
    <t xml:space="preserve">10.10.2025       </t>
  </si>
  <si>
    <t xml:space="preserve">10.10.2025            </t>
  </si>
  <si>
    <t xml:space="preserve">10.10.2025             </t>
  </si>
  <si>
    <t xml:space="preserve">D-0973544300800LM00   </t>
  </si>
  <si>
    <t xml:space="preserve">0973544300800 A04W23                    </t>
  </si>
  <si>
    <t xml:space="preserve">D-0973544330129LM00   </t>
  </si>
  <si>
    <t xml:space="preserve">0973544330129 A08W065                   </t>
  </si>
  <si>
    <t xml:space="preserve">D-0973544330152LM00   </t>
  </si>
  <si>
    <t xml:space="preserve">0973544330152 A08W076                   </t>
  </si>
  <si>
    <t xml:space="preserve">Marco Martínez Gómez        </t>
  </si>
  <si>
    <t xml:space="preserve">D-0973544330153LM00   </t>
  </si>
  <si>
    <t xml:space="preserve">0973544330153 A08W077                   </t>
  </si>
  <si>
    <t xml:space="preserve">D-0973544330154LM00   </t>
  </si>
  <si>
    <t xml:space="preserve">0973544330154 A08W078                   </t>
  </si>
  <si>
    <t xml:space="preserve">D-0973544330156LM00   </t>
  </si>
  <si>
    <t xml:space="preserve">0973544330156 A08W091                   </t>
  </si>
  <si>
    <t xml:space="preserve">31.10.2024          </t>
  </si>
  <si>
    <t xml:space="preserve">08.11.2024         </t>
  </si>
  <si>
    <t xml:space="preserve">08.11.2024       </t>
  </si>
  <si>
    <t xml:space="preserve">Ana María Zuluaga Ramírez   </t>
  </si>
  <si>
    <t xml:space="preserve">David Valencia Agudelo        </t>
  </si>
  <si>
    <t xml:space="preserve">08.11.2024            </t>
  </si>
  <si>
    <t xml:space="preserve">08.11.2024             </t>
  </si>
  <si>
    <t xml:space="preserve">D-0973544330157LM00   </t>
  </si>
  <si>
    <t xml:space="preserve">0973544330157 A08W092                   </t>
  </si>
  <si>
    <t xml:space="preserve">D-0973544330158LM00   </t>
  </si>
  <si>
    <t xml:space="preserve">0973544330158 A08W093                   </t>
  </si>
  <si>
    <t xml:space="preserve">D-0973544330159LM00   </t>
  </si>
  <si>
    <t xml:space="preserve">0973544330159 A08W094                   </t>
  </si>
  <si>
    <t xml:space="preserve">D-0973544330160LM00   </t>
  </si>
  <si>
    <t xml:space="preserve">0973544330160 A08W095                   </t>
  </si>
  <si>
    <t xml:space="preserve">D-0973544330161LM00   </t>
  </si>
  <si>
    <t xml:space="preserve">0973544330161 A08W096                   </t>
  </si>
  <si>
    <t xml:space="preserve">D-0973544330162LM00   </t>
  </si>
  <si>
    <t xml:space="preserve">0973544330162 A08W097                   </t>
  </si>
  <si>
    <t xml:space="preserve">D-0973544330163LM00   </t>
  </si>
  <si>
    <t xml:space="preserve">0973544330163 A08W098                   </t>
  </si>
  <si>
    <t xml:space="preserve">D-0973544330164LM00   </t>
  </si>
  <si>
    <t xml:space="preserve">0973544330164 A08W099                   </t>
  </si>
  <si>
    <t xml:space="preserve">D-0973544330165LM00   </t>
  </si>
  <si>
    <t xml:space="preserve">0973544330165 A08W100                   </t>
  </si>
  <si>
    <t xml:space="preserve">D-0973544330166LM00   </t>
  </si>
  <si>
    <t xml:space="preserve">0973544330166 A08W101                   </t>
  </si>
  <si>
    <t xml:space="preserve">D-0973544330170LM00   </t>
  </si>
  <si>
    <t xml:space="preserve">0973544330170 A08W131                   </t>
  </si>
  <si>
    <t xml:space="preserve">D-0973544330171LM00   </t>
  </si>
  <si>
    <t xml:space="preserve">0973544330171 A08W133                   </t>
  </si>
  <si>
    <t xml:space="preserve">D-0973544330172LM00   </t>
  </si>
  <si>
    <t xml:space="preserve">0973544330172 A08W135                   </t>
  </si>
  <si>
    <t xml:space="preserve">D-0973544330173LM00   </t>
  </si>
  <si>
    <t xml:space="preserve">0973544330173 A08W137                   </t>
  </si>
  <si>
    <t xml:space="preserve">D-0973544330180LM00   </t>
  </si>
  <si>
    <t xml:space="preserve">0973544330180 A08W145                   </t>
  </si>
  <si>
    <t xml:space="preserve">D-0973544330181LM00   </t>
  </si>
  <si>
    <t xml:space="preserve">0973544330181 A08W146                   </t>
  </si>
  <si>
    <t xml:space="preserve">D-0973545020103LM00   </t>
  </si>
  <si>
    <t xml:space="preserve">0973545020103 W903                      </t>
  </si>
  <si>
    <t xml:space="preserve">08.10.2025          </t>
  </si>
  <si>
    <t xml:space="preserve">Juana Raboso                </t>
  </si>
  <si>
    <t xml:space="preserve">Juana Raboso               </t>
  </si>
  <si>
    <t xml:space="preserve">D-0973545020201LM00   </t>
  </si>
  <si>
    <t xml:space="preserve">0973545020201 W901                      </t>
  </si>
  <si>
    <t xml:space="preserve">D-0973545020202LM00   </t>
  </si>
  <si>
    <t xml:space="preserve">0973545020202 W902                      </t>
  </si>
  <si>
    <t xml:space="preserve">D-0973545020300LM00   </t>
  </si>
  <si>
    <t xml:space="preserve">0973545020300 W910                      </t>
  </si>
  <si>
    <t xml:space="preserve">D-0973545020684LM00   </t>
  </si>
  <si>
    <t xml:space="preserve">0973545020684 W984                      </t>
  </si>
  <si>
    <t xml:space="preserve">D-0973545020685LM00   </t>
  </si>
  <si>
    <t xml:space="preserve">0973545020685 W985                      </t>
  </si>
  <si>
    <t xml:space="preserve">D-0973545020687LM00   </t>
  </si>
  <si>
    <t xml:space="preserve">0973545020687 W987                      </t>
  </si>
  <si>
    <t xml:space="preserve">D-0973545020688LM00   </t>
  </si>
  <si>
    <t xml:space="preserve">0973545020688 W988                      </t>
  </si>
  <si>
    <t xml:space="preserve">D-0973545020882LM00   </t>
  </si>
  <si>
    <t xml:space="preserve">0973545020882 W982                      </t>
  </si>
  <si>
    <t xml:space="preserve">D-0973545020886LM00   </t>
  </si>
  <si>
    <t xml:space="preserve">0973545020886 W986                      </t>
  </si>
  <si>
    <t xml:space="preserve">D-0973545036000LM00   </t>
  </si>
  <si>
    <t xml:space="preserve">0973545036000 W360                      </t>
  </si>
  <si>
    <t xml:space="preserve">02.10.2025          </t>
  </si>
  <si>
    <t xml:space="preserve">02.10.2025         </t>
  </si>
  <si>
    <t xml:space="preserve">02.10.2025       </t>
  </si>
  <si>
    <t xml:space="preserve">02.10.2025            </t>
  </si>
  <si>
    <t xml:space="preserve">02.10.2025             </t>
  </si>
  <si>
    <t xml:space="preserve">D-0973545052200LM00   </t>
  </si>
  <si>
    <t xml:space="preserve">0973545052200 W522                      </t>
  </si>
  <si>
    <t xml:space="preserve">Florina Untaru             </t>
  </si>
  <si>
    <t>0973580310200</t>
  </si>
  <si>
    <t xml:space="preserve">D-0973580310200LM00   </t>
  </si>
  <si>
    <t xml:space="preserve">0973580310200 CARRIL DIN SMKBOX#1       </t>
  </si>
  <si>
    <t xml:space="preserve">11.02.2025          </t>
  </si>
  <si>
    <t xml:space="preserve">13.02.2025         </t>
  </si>
  <si>
    <t xml:space="preserve">13.02.2025       </t>
  </si>
  <si>
    <t xml:space="preserve">Jesús Gregorio del Valle   </t>
  </si>
  <si>
    <t xml:space="preserve">13.02.2025            </t>
  </si>
  <si>
    <t xml:space="preserve">13.02.2025             </t>
  </si>
  <si>
    <t>0973581310200</t>
  </si>
  <si>
    <t xml:space="preserve">D-0973581310200LM00   </t>
  </si>
  <si>
    <t xml:space="preserve">0973581310200 CARRIL DIN SMKBOX#2       </t>
  </si>
  <si>
    <t>0973588110100</t>
  </si>
  <si>
    <t xml:space="preserve">D-0973588110100LM00   </t>
  </si>
  <si>
    <t xml:space="preserve">0973588110100 OVERHEAD PLATE            </t>
  </si>
  <si>
    <t xml:space="preserve">Leonardo Carrera Bloise    </t>
  </si>
  <si>
    <t>0973588240100</t>
  </si>
  <si>
    <t xml:space="preserve">D-0973588240100LM00   </t>
  </si>
  <si>
    <t xml:space="preserve">0973588240100 IOS SEAT WIRE PLATE       </t>
  </si>
  <si>
    <t xml:space="preserve">07.10.2025          </t>
  </si>
  <si>
    <t xml:space="preserve">09.10.2025         </t>
  </si>
  <si>
    <t xml:space="preserve">09.10.2025       </t>
  </si>
  <si>
    <t xml:space="preserve">09.10.2025            </t>
  </si>
  <si>
    <t xml:space="preserve">09.10.2025             </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</si>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</sst>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0000"/>
  </numFmts>
  <fonts count="87" x14ac:knownFonts="1">
    <font>
      <sz val="11"/>
      <color theme="1"/>
      <name val="Calibri"/>
      <family val="2"/>
      <scheme val="minor"/>
    </font>
    <font>
      <b/>
      <sz val="11"/>
      <color theme="1"/>
      <name val="Calibri"/>
      <family val="2"/>
      <scheme val="minor"/>
    </font>
    <font>
      <sz val="10"/>
      <name val="Arial"/>
      <family val="2"/>
    </font>
    <font>
      <b/>
      <sz val="10"/>
      <color rgb="FF000000"/>
      <name val="Arial"/>
      <family val="2"/>
    </font>
    <font>
      <sz val="10"/>
      <color rgb="FF000000"/>
      <name val="Arial"/>
      <family val="2"/>
    </font>
    <font>
      <b/>
      <sz val="9"/>
      <color rgb="FF000000"/>
      <name val="Calibri"/>
      <family val="2"/>
      <scheme val="minor"/>
    </font>
    <font>
      <sz val="10"/>
      <color theme="1"/>
      <name val="Arial"/>
      <family val="2"/>
    </font>
    <font>
      <b/>
      <sz val="10"/>
      <color theme="1"/>
      <name val="Arial"/>
      <family val="2"/>
    </font>
    <font>
      <b/>
      <sz val="10"/>
      <name val="Arial"/>
      <family val="2"/>
    </font>
    <font>
      <sz val="11"/>
      <color theme="1"/>
      <name val="Calibri"/>
      <family val="2"/>
      <scheme val="minor"/>
    </font>
    <font>
      <sz val="11"/>
      <color rgb="FF000000"/>
      <name val="Calibri"/>
      <family val="2"/>
    </font>
    <font>
      <sz val="9"/>
      <color rgb="FF000000"/>
      <name val="Calibri"/>
      <family val="2"/>
      <scheme val="minor"/>
    </font>
    <font>
      <b/>
      <sz val="16"/>
      <color theme="1"/>
      <name val="Calibri"/>
      <family val="2"/>
      <scheme val="minor"/>
    </font>
    <font>
      <sz val="16"/>
      <color theme="1"/>
      <name val="Calibri"/>
      <family val="2"/>
      <scheme val="minor"/>
    </font>
    <font>
      <sz val="11"/>
      <color rgb="FF000000"/>
      <name val="Calibri"/>
      <family val="2"/>
      <scheme val="minor"/>
    </font>
    <font>
      <b/>
      <sz val="11"/>
      <color rgb="FF000000"/>
      <name val="Calibri"/>
      <family val="2"/>
      <scheme val="minor"/>
    </font>
    <font>
      <sz val="10"/>
      <name val="Arial"/>
      <family val="2"/>
    </font>
    <font>
      <sz val="11"/>
      <name val="Calibri"/>
      <family val="2"/>
      <scheme val="minor"/>
    </font>
    <font>
      <sz val="11"/>
      <color rgb="FF000000"/>
      <name val="Neo Sans"/>
      <family val="2"/>
    </font>
    <font>
      <sz val="11"/>
      <color rgb="FFFFFFFF"/>
      <name val="Neo Sans"/>
      <family val="2"/>
    </font>
    <font>
      <sz val="10"/>
      <color rgb="FF000000"/>
      <name val="Neo Sans"/>
      <family val="2"/>
    </font>
    <font>
      <sz val="8"/>
      <name val="Calibri"/>
      <family val="2"/>
      <scheme val="minor"/>
    </font>
    <font>
      <sz val="9"/>
      <color rgb="FF000000"/>
      <name val="Calibri"/>
      <family val="2"/>
    </font>
    <font>
      <sz val="9"/>
      <color rgb="FFFF0000"/>
      <name val="Calibri"/>
      <family val="2"/>
      <scheme val="minor"/>
    </font>
    <font>
      <b/>
      <sz val="9"/>
      <color rgb="FF70AD47"/>
      <name val="Calibri"/>
      <family val="2"/>
      <scheme val="minor"/>
    </font>
    <font>
      <b/>
      <sz val="9"/>
      <color rgb="FFFF0000"/>
      <name val="Calibri"/>
      <family val="2"/>
      <scheme val="minor"/>
    </font>
    <font>
      <sz val="9"/>
      <color rgb="FF70AD47"/>
      <name val="Calibri"/>
      <family val="2"/>
      <scheme val="minor"/>
    </font>
    <font>
      <sz val="9"/>
      <color rgb="FFFF0000"/>
      <name val="Calibri"/>
      <family val="2"/>
    </font>
    <font>
      <sz val="9"/>
      <color rgb="FF70AD47"/>
      <name val="Calibri"/>
      <family val="2"/>
    </font>
    <font>
      <sz val="9"/>
      <color rgb="FF0D0D0D"/>
      <name val="Calibri"/>
      <family val="2"/>
      <scheme val="minor"/>
    </font>
    <font>
      <b/>
      <sz val="10"/>
      <color rgb="FFFFFFFF"/>
      <name val="Neo Sans"/>
      <family val="2"/>
    </font>
    <font>
      <b/>
      <sz val="11"/>
      <color theme="0"/>
      <name val="Calibri"/>
      <family val="2"/>
      <scheme val="minor"/>
    </font>
    <font>
      <sz val="9"/>
      <color theme="1"/>
      <name val="Calibri"/>
      <family val="2"/>
    </font>
    <font>
      <sz val="9"/>
      <color theme="9"/>
      <name val="Calibri"/>
      <family val="2"/>
      <scheme val="minor"/>
    </font>
    <font>
      <sz val="11"/>
      <color rgb="FFFF0000"/>
      <name val="Calibri"/>
      <family val="2"/>
      <scheme val="minor"/>
    </font>
    <font>
      <sz val="11"/>
      <color rgb="FF242424"/>
      <name val="Segoe UI"/>
      <family val="2"/>
    </font>
    <font>
      <strike/>
      <sz val="11"/>
      <color rgb="FFFF0000"/>
      <name val="Calibri"/>
      <family val="2"/>
      <scheme val="minor"/>
    </font>
    <font>
      <sz val="9"/>
      <name val="Calibri"/>
      <family val="2"/>
      <scheme val="minor"/>
    </font>
    <font>
      <sz val="9"/>
      <name val="Calibri"/>
      <family val="2"/>
    </font>
    <font>
      <sz val="11"/>
      <color rgb="FFFF0000"/>
      <name val="Arial"/>
      <family val="2"/>
    </font>
    <font>
      <sz val="9"/>
      <color theme="1"/>
      <name val="Calibri"/>
      <family val="2"/>
      <scheme val="minor"/>
    </font>
    <font>
      <sz val="9"/>
      <color theme="9"/>
      <name val="Calibri"/>
      <family val="2"/>
    </font>
    <font>
      <b/>
      <sz val="9"/>
      <color theme="1"/>
      <name val="Calibri"/>
      <family val="2"/>
    </font>
    <font>
      <sz val="11"/>
      <color theme="1"/>
      <name val="Calibri"/>
      <family val="2"/>
    </font>
    <font>
      <sz val="9"/>
      <color theme="1" tint="4.9989318521683403E-2"/>
      <name val="Calibri"/>
      <family val="2"/>
    </font>
    <font>
      <sz val="11"/>
      <name val="Calibri"/>
      <family val="2"/>
    </font>
    <font>
      <b/>
      <sz val="11"/>
      <color theme="1"/>
      <name val="Calibri"/>
      <family val="2"/>
    </font>
    <font>
      <sz val="9"/>
      <color theme="1"/>
      <name val="Calibri Light"/>
      <family val="2"/>
      <scheme val="major"/>
    </font>
    <font>
      <sz val="11"/>
      <color rgb="FFFF0000"/>
      <name val="Calibri"/>
      <family val="2"/>
    </font>
    <font>
      <b/>
      <sz val="9"/>
      <color rgb="FF000000"/>
      <name val="Calibri"/>
      <family val="2"/>
    </font>
    <font>
      <sz val="16"/>
      <name val="Neo Sans"/>
      <family val="2"/>
    </font>
    <font>
      <sz val="30"/>
      <color theme="8" tint="-0.499984740745262"/>
      <name val="Calibri"/>
      <family val="2"/>
      <scheme val="minor"/>
    </font>
    <font>
      <b/>
      <u/>
      <sz val="11"/>
      <color theme="1"/>
      <name val="Arial"/>
      <family val="2"/>
    </font>
    <font>
      <b/>
      <sz val="11"/>
      <color theme="1"/>
      <name val="Arial"/>
      <family val="2"/>
    </font>
    <font>
      <sz val="9"/>
      <color rgb="FF363636"/>
      <name val="Segoe UI"/>
      <family val="2"/>
    </font>
    <font>
      <sz val="12"/>
      <color theme="1"/>
      <name val="Arial"/>
      <family val="2"/>
    </font>
    <font>
      <b/>
      <sz val="9"/>
      <name val="Calibri"/>
      <family val="2"/>
      <scheme val="minor"/>
    </font>
    <font>
      <strike/>
      <sz val="11"/>
      <color theme="1"/>
      <name val="Calibri"/>
      <family val="2"/>
      <scheme val="minor"/>
    </font>
    <font>
      <sz val="16"/>
      <color rgb="FF000000"/>
      <name val="Neo Sans"/>
      <family val="2"/>
    </font>
    <font>
      <sz val="9"/>
      <color rgb="FFFF0000"/>
      <name val="Segoe UI"/>
      <family val="2"/>
    </font>
    <font>
      <sz val="16"/>
      <color rgb="FFFFFFFF"/>
      <name val="Neo Sans"/>
      <family val="2"/>
    </font>
    <font>
      <b/>
      <sz val="16"/>
      <color rgb="FFFFFFFF"/>
      <name val="Neo Sans"/>
      <family val="2"/>
    </font>
    <font>
      <sz val="9"/>
      <name val="Segoe UI"/>
      <family val="2"/>
    </font>
    <font>
      <sz val="9"/>
      <color rgb="FF0070C0"/>
      <name val="Calibri"/>
      <family val="2"/>
      <scheme val="minor"/>
    </font>
    <font>
      <sz val="11"/>
      <color theme="0"/>
      <name val="Calibri"/>
      <family val="2"/>
      <scheme val="minor"/>
    </font>
    <font>
      <b/>
      <sz val="16"/>
      <color theme="0"/>
      <name val="Calibri"/>
      <family val="2"/>
      <scheme val="minor"/>
    </font>
    <font>
      <b/>
      <sz val="14"/>
      <color theme="0"/>
      <name val="Calibri"/>
      <family val="2"/>
      <scheme val="minor"/>
    </font>
    <font>
      <b/>
      <sz val="14"/>
      <name val="Calibri"/>
      <family val="2"/>
      <scheme val="minor"/>
    </font>
    <font>
      <sz val="12"/>
      <color rgb="FF000000"/>
      <name val="Neo Sans"/>
      <family val="2"/>
    </font>
    <font>
      <b/>
      <sz val="16"/>
      <name val="Neo Sans"/>
      <family val="2"/>
    </font>
    <font>
      <sz val="9"/>
      <color theme="1" tint="4.9989318521683403E-2"/>
      <name val="Calibri"/>
      <family val="2"/>
      <scheme val="minor"/>
    </font>
    <font>
      <b/>
      <sz val="16"/>
      <color theme="5"/>
      <name val="Neo Sans"/>
      <family val="2"/>
    </font>
    <font>
      <b/>
      <sz val="16"/>
      <color rgb="FFED7D31"/>
      <name val="Neo Sans"/>
      <family val="2"/>
    </font>
    <font>
      <sz val="16"/>
      <color theme="5"/>
      <name val="Neo Sans"/>
      <family val="2"/>
    </font>
    <font>
      <i/>
      <sz val="16"/>
      <color theme="5"/>
      <name val="Neo Sans"/>
      <family val="2"/>
    </font>
    <font>
      <sz val="9"/>
      <color rgb="FF000000"/>
      <name val="Arial"/>
      <family val="2"/>
    </font>
    <font>
      <i/>
      <sz val="16"/>
      <color rgb="FFED7D31"/>
      <name val="Neo Sans"/>
      <family val="2"/>
    </font>
    <font>
      <b/>
      <i/>
      <sz val="16"/>
      <color rgb="FFED7D31"/>
      <name val="Neo Sans"/>
      <family val="2"/>
    </font>
    <font>
      <b/>
      <u/>
      <sz val="16"/>
      <color rgb="FFED7D31"/>
      <name val="Neo Sans"/>
      <family val="2"/>
    </font>
    <font>
      <sz val="11"/>
      <color theme="1"/>
      <name val="Arial"/>
      <family val="2"/>
    </font>
    <font>
      <sz val="9"/>
      <color rgb="FF000000"/>
      <name val="Calibri"/>
      <family val="2"/>
      <charset val="1"/>
    </font>
    <font>
      <b/>
      <sz val="9"/>
      <color rgb="FF000000"/>
      <name val="Calibri"/>
      <family val="2"/>
      <charset val="1"/>
    </font>
    <font>
      <sz val="12"/>
      <name val="Neo Sans"/>
      <family val="2"/>
    </font>
    <font>
      <sz val="9"/>
      <color theme="9" tint="0.79998168889431442"/>
      <name val="Calibri"/>
      <family val="2"/>
      <scheme val="minor"/>
    </font>
    <font>
      <sz val="9"/>
      <color rgb="FF4472C4"/>
      <name val="Calibri"/>
      <family val="2"/>
      <scheme val="minor"/>
    </font>
    <font>
      <b/>
      <sz val="9"/>
      <color rgb="FFFF0000"/>
      <name val="Calibri"/>
      <family val="2"/>
    </font>
    <font>
      <sz val="12"/>
      <color rgb="FF000000"/>
      <name val="Aptos"/>
      <family val="2"/>
    </font>
  </fonts>
  <fills count="38">
    <fill>
      <patternFill patternType="none"/>
    </fill>
    <fill>
      <patternFill patternType="gray125"/>
    </fill>
    <fill>
      <patternFill patternType="solid">
        <fgColor theme="0" tint="-0.14999847407452621"/>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FFE699"/>
        <bgColor rgb="FF000000"/>
      </patternFill>
    </fill>
    <fill>
      <patternFill patternType="solid">
        <fgColor theme="0"/>
        <bgColor indexed="64"/>
      </patternFill>
    </fill>
    <fill>
      <patternFill patternType="solid">
        <fgColor theme="4" tint="0.79998168889431442"/>
        <bgColor theme="4" tint="0.79998168889431442"/>
      </patternFill>
    </fill>
    <fill>
      <patternFill patternType="solid">
        <fgColor rgb="FFFFF9E7"/>
        <bgColor indexed="64"/>
      </patternFill>
    </fill>
    <fill>
      <patternFill patternType="solid">
        <fgColor rgb="FFF8CBAD"/>
        <bgColor rgb="FF000000"/>
      </patternFill>
    </fill>
    <fill>
      <patternFill patternType="solid">
        <fgColor theme="4" tint="0.59999389629810485"/>
        <bgColor rgb="FF000000"/>
      </patternFill>
    </fill>
    <fill>
      <patternFill patternType="solid">
        <fgColor rgb="FFFFFFFF"/>
        <bgColor indexed="64"/>
      </patternFill>
    </fill>
    <fill>
      <patternFill patternType="solid">
        <fgColor theme="0"/>
        <bgColor theme="4" tint="0.79998168889431442"/>
      </patternFill>
    </fill>
    <fill>
      <patternFill patternType="solid">
        <fgColor theme="0"/>
        <bgColor rgb="FF000000"/>
      </patternFill>
    </fill>
    <fill>
      <patternFill patternType="solid">
        <fgColor theme="5" tint="0.79998168889431442"/>
        <bgColor indexed="64"/>
      </patternFill>
    </fill>
    <fill>
      <patternFill patternType="solid">
        <fgColor rgb="FF004254"/>
        <bgColor rgb="FF000000"/>
      </patternFill>
    </fill>
    <fill>
      <patternFill patternType="solid">
        <fgColor rgb="FFD9D9D9"/>
        <bgColor rgb="FF000000"/>
      </patternFill>
    </fill>
    <fill>
      <patternFill patternType="solid">
        <fgColor rgb="FF92D050"/>
        <bgColor rgb="FF000000"/>
      </patternFill>
    </fill>
    <fill>
      <patternFill patternType="solid">
        <fgColor theme="5"/>
        <bgColor rgb="FF000000"/>
      </patternFill>
    </fill>
    <fill>
      <patternFill patternType="solid">
        <fgColor theme="0" tint="-4.9989318521683403E-2"/>
        <bgColor indexed="64"/>
      </patternFill>
    </fill>
    <fill>
      <patternFill patternType="solid">
        <fgColor rgb="FF002060"/>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83C937"/>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8F8F"/>
        <bgColor indexed="64"/>
      </patternFill>
    </fill>
    <fill>
      <patternFill patternType="solid">
        <fgColor rgb="FFDFE3E8"/>
        <bgColor indexed="64"/>
      </patternFill>
    </fill>
    <fill>
      <patternFill patternType="solid">
        <fgColor theme="2" tint="-9.9978637043366805E-2"/>
        <bgColor indexed="64"/>
      </patternFill>
    </fill>
    <fill>
      <patternFill patternType="solid">
        <fgColor theme="9"/>
        <bgColor indexed="64"/>
      </patternFill>
    </fill>
    <fill>
      <patternFill patternType="solid">
        <fgColor theme="5" tint="0.39997558519241921"/>
        <bgColor indexed="64"/>
      </patternFill>
    </fill>
    <fill>
      <patternFill patternType="solid">
        <fgColor theme="5" tint="0.39997558519241921"/>
        <bgColor theme="4" tint="0.79998168889431442"/>
      </patternFill>
    </fill>
    <fill>
      <patternFill patternType="solid">
        <fgColor rgb="FF004254"/>
        <bgColor indexed="64"/>
      </patternFill>
    </fill>
    <fill>
      <patternFill patternType="solid">
        <fgColor rgb="FF057390"/>
        <bgColor indexed="64"/>
      </patternFill>
    </fill>
    <fill>
      <patternFill patternType="solid">
        <fgColor rgb="FF00B0F0"/>
        <bgColor indexed="64"/>
      </patternFill>
    </fill>
    <fill>
      <patternFill patternType="solid">
        <fgColor rgb="FFFFC000"/>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theme="0"/>
      </left>
      <right style="thin">
        <color theme="0"/>
      </right>
      <top style="thin">
        <color theme="0"/>
      </top>
      <bottom/>
      <diagonal/>
    </border>
    <border>
      <left style="thin">
        <color theme="0"/>
      </left>
      <right style="thin">
        <color theme="0"/>
      </right>
      <top style="thin">
        <color theme="0"/>
      </top>
      <bottom style="thin">
        <color theme="0"/>
      </bottom>
      <diagonal/>
    </border>
    <border>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rgb="FFB1BBCC"/>
      </left>
      <right style="thin">
        <color rgb="FFB1BBCC"/>
      </right>
      <top style="thin">
        <color rgb="FFB1BBCC"/>
      </top>
      <bottom style="thin">
        <color rgb="FFB1BBCC"/>
      </bottom>
      <diagonal/>
    </border>
    <border>
      <left style="thin">
        <color rgb="FFB1BBCC"/>
      </left>
      <right/>
      <top style="medium">
        <color indexed="64"/>
      </top>
      <bottom style="thin">
        <color rgb="FFB1BBCC"/>
      </bottom>
      <diagonal/>
    </border>
    <border>
      <left style="thin">
        <color rgb="FFB1BBCC"/>
      </left>
      <right/>
      <top style="medium">
        <color indexed="64"/>
      </top>
      <bottom/>
      <diagonal/>
    </border>
    <border>
      <left/>
      <right/>
      <top style="medium">
        <color indexed="64"/>
      </top>
      <bottom style="thin">
        <color rgb="FFB1BBCC"/>
      </bottom>
      <diagonal/>
    </border>
    <border>
      <left/>
      <right style="thin">
        <color rgb="FFB1BBCC"/>
      </right>
      <top style="medium">
        <color indexed="64"/>
      </top>
      <bottom style="thin">
        <color rgb="FFB1BBCC"/>
      </bottom>
      <diagonal/>
    </border>
    <border>
      <left style="thin">
        <color rgb="FFB1BBCC"/>
      </left>
      <right/>
      <top style="thin">
        <color rgb="FFB1BBCC"/>
      </top>
      <bottom style="thin">
        <color rgb="FFB1BBCC"/>
      </bottom>
      <diagonal/>
    </border>
    <border>
      <left/>
      <right/>
      <top style="thin">
        <color rgb="FFB1BBCC"/>
      </top>
      <bottom style="thin">
        <color rgb="FFB1BBCC"/>
      </bottom>
      <diagonal/>
    </border>
    <border>
      <left/>
      <right style="thin">
        <color rgb="FFB1BBCC"/>
      </right>
      <top style="thin">
        <color rgb="FFB1BBCC"/>
      </top>
      <bottom style="thin">
        <color rgb="FFB1BBCC"/>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rgb="FFB1BBCC"/>
      </right>
      <top style="thin">
        <color rgb="FFB1BBCC"/>
      </top>
      <bottom/>
      <diagonal/>
    </border>
    <border>
      <left style="thin">
        <color indexed="64"/>
      </left>
      <right style="thin">
        <color indexed="64"/>
      </right>
      <top style="thin">
        <color theme="4" tint="0.39997558519241921"/>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rgb="FF000000"/>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style="thin">
        <color indexed="64"/>
      </left>
      <right/>
      <top/>
      <bottom/>
      <diagonal/>
    </border>
    <border>
      <left style="thin">
        <color indexed="64"/>
      </left>
      <right style="thin">
        <color indexed="64"/>
      </right>
      <top/>
      <bottom style="medium">
        <color rgb="FF000000"/>
      </bottom>
      <diagonal/>
    </border>
  </borders>
  <cellStyleXfs count="4">
    <xf numFmtId="0" fontId="0" fillId="0" borderId="0"/>
    <xf numFmtId="0" fontId="9" fillId="0" borderId="0"/>
    <xf numFmtId="9" fontId="9" fillId="0" borderId="0" applyFont="0" applyFill="0" applyBorder="0" applyAlignment="0" applyProtection="0"/>
    <xf numFmtId="0" fontId="16" fillId="0" borderId="0"/>
  </cellStyleXfs>
  <cellXfs count="680">
    <xf numFmtId="0" fontId="0" fillId="0" borderId="0" xfId="0"/>
    <xf numFmtId="0" fontId="0" fillId="0" borderId="1" xfId="0" applyBorder="1"/>
    <xf numFmtId="0" fontId="4" fillId="0" borderId="0" xfId="0" applyFont="1"/>
    <xf numFmtId="0" fontId="3" fillId="0" borderId="0" xfId="0" applyFont="1"/>
    <xf numFmtId="0" fontId="0" fillId="0" borderId="0" xfId="0" applyAlignment="1">
      <alignment wrapText="1"/>
    </xf>
    <xf numFmtId="14" fontId="0" fillId="0" borderId="1" xfId="0" applyNumberFormat="1" applyBorder="1" applyAlignment="1">
      <alignment wrapText="1"/>
    </xf>
    <xf numFmtId="0" fontId="0" fillId="0" borderId="0" xfId="0" applyAlignment="1">
      <alignment horizontal="center" vertical="center"/>
    </xf>
    <xf numFmtId="0" fontId="0" fillId="0" borderId="1" xfId="0" quotePrefix="1" applyBorder="1" applyAlignment="1">
      <alignment horizontal="center" vertical="center"/>
    </xf>
    <xf numFmtId="0" fontId="0" fillId="0" borderId="1" xfId="0" applyBorder="1" applyAlignment="1">
      <alignment horizontal="center" vertical="center"/>
    </xf>
    <xf numFmtId="0" fontId="6" fillId="0" borderId="0" xfId="0" quotePrefix="1" applyFont="1" applyAlignment="1">
      <alignment horizontal="center" vertical="center"/>
    </xf>
    <xf numFmtId="0" fontId="7" fillId="0" borderId="0" xfId="0" applyFont="1" applyAlignment="1">
      <alignment horizontal="left" vertical="center" indent="1"/>
    </xf>
    <xf numFmtId="0" fontId="8" fillId="0" borderId="0" xfId="0" applyFont="1"/>
    <xf numFmtId="0" fontId="6" fillId="0" borderId="0" xfId="0" quotePrefix="1" applyFont="1" applyAlignment="1">
      <alignment horizontal="center"/>
    </xf>
    <xf numFmtId="0" fontId="8" fillId="3" borderId="4" xfId="0" applyFont="1" applyFill="1" applyBorder="1" applyAlignment="1">
      <alignment horizontal="center"/>
    </xf>
    <xf numFmtId="0" fontId="8" fillId="3" borderId="4" xfId="0" applyFont="1" applyFill="1" applyBorder="1" applyAlignment="1">
      <alignment horizontal="center" vertical="center"/>
    </xf>
    <xf numFmtId="0" fontId="8" fillId="3" borderId="6" xfId="0" applyFont="1" applyFill="1" applyBorder="1" applyAlignment="1">
      <alignment horizontal="center"/>
    </xf>
    <xf numFmtId="0" fontId="8" fillId="3" borderId="6" xfId="0" applyFont="1" applyFill="1" applyBorder="1" applyAlignment="1">
      <alignment horizontal="center" vertical="center"/>
    </xf>
    <xf numFmtId="0" fontId="2" fillId="3" borderId="6" xfId="0" applyFont="1" applyFill="1" applyBorder="1" applyAlignment="1">
      <alignment horizontal="center"/>
    </xf>
    <xf numFmtId="0" fontId="8" fillId="0" borderId="0" xfId="0" applyFont="1" applyAlignment="1">
      <alignment horizontal="center"/>
    </xf>
    <xf numFmtId="0" fontId="2" fillId="0" borderId="0" xfId="0" applyFont="1" applyAlignment="1">
      <alignment horizontal="center" vertical="center"/>
    </xf>
    <xf numFmtId="0" fontId="2" fillId="0" borderId="0" xfId="0" applyFont="1" applyAlignment="1">
      <alignment horizontal="left"/>
    </xf>
    <xf numFmtId="1" fontId="2" fillId="0" borderId="0" xfId="0" quotePrefix="1" applyNumberFormat="1" applyFont="1" applyAlignment="1">
      <alignment horizontal="center" vertical="top"/>
    </xf>
    <xf numFmtId="0" fontId="8" fillId="0" borderId="0" xfId="0" applyFont="1" applyAlignment="1">
      <alignment horizontal="left"/>
    </xf>
    <xf numFmtId="0" fontId="2" fillId="0" borderId="0" xfId="0" quotePrefix="1" applyFont="1" applyAlignment="1">
      <alignment horizontal="center"/>
    </xf>
    <xf numFmtId="0" fontId="8" fillId="0" borderId="0" xfId="0" applyFont="1" applyAlignment="1">
      <alignment horizontal="left" indent="1"/>
    </xf>
    <xf numFmtId="0" fontId="7" fillId="0" borderId="0" xfId="0" applyFont="1" applyAlignment="1">
      <alignment horizontal="left"/>
    </xf>
    <xf numFmtId="0" fontId="7" fillId="0" borderId="0" xfId="0" applyFont="1" applyAlignment="1">
      <alignment horizontal="center"/>
    </xf>
    <xf numFmtId="0" fontId="7" fillId="0" borderId="0" xfId="0" applyFont="1"/>
    <xf numFmtId="0" fontId="7" fillId="0" borderId="0" xfId="0" applyFont="1" applyAlignment="1">
      <alignment horizontal="left" indent="2"/>
    </xf>
    <xf numFmtId="1" fontId="8" fillId="0" borderId="0" xfId="0" applyNumberFormat="1" applyFont="1" applyAlignment="1">
      <alignment horizontal="left" vertical="center" wrapText="1"/>
    </xf>
    <xf numFmtId="0" fontId="8" fillId="0" borderId="0" xfId="0" applyFont="1" applyAlignment="1">
      <alignment horizontal="center" vertical="center"/>
    </xf>
    <xf numFmtId="0" fontId="8" fillId="0" borderId="0" xfId="0" applyFont="1" applyAlignment="1">
      <alignment horizontal="left" indent="2"/>
    </xf>
    <xf numFmtId="0" fontId="8" fillId="0" borderId="0" xfId="0" applyFont="1" applyAlignment="1">
      <alignment horizontal="left" vertical="center"/>
    </xf>
    <xf numFmtId="0" fontId="8" fillId="0" borderId="0" xfId="0" applyFont="1" applyAlignment="1">
      <alignment horizontal="left" vertical="center" wrapText="1" indent="2"/>
    </xf>
    <xf numFmtId="0" fontId="8" fillId="0" borderId="0" xfId="0" quotePrefix="1" applyFont="1" applyAlignment="1">
      <alignment horizontal="left" vertical="center" indent="2"/>
    </xf>
    <xf numFmtId="0" fontId="8" fillId="0" borderId="0" xfId="0" applyFont="1" applyAlignment="1">
      <alignment horizontal="left" vertical="top" indent="2"/>
    </xf>
    <xf numFmtId="1" fontId="8" fillId="0" borderId="0" xfId="0" applyNumberFormat="1" applyFont="1" applyAlignment="1">
      <alignment horizontal="left" vertical="center" indent="2"/>
    </xf>
    <xf numFmtId="0" fontId="8" fillId="0" borderId="0" xfId="0" quotePrefix="1" applyFont="1" applyAlignment="1">
      <alignment horizontal="left"/>
    </xf>
    <xf numFmtId="0" fontId="2" fillId="0" borderId="0" xfId="0" quotePrefix="1" applyFont="1" applyAlignment="1">
      <alignment horizontal="center" vertical="center"/>
    </xf>
    <xf numFmtId="0" fontId="7" fillId="0" borderId="0" xfId="0" applyFont="1" applyAlignment="1">
      <alignment horizontal="left" indent="1"/>
    </xf>
    <xf numFmtId="0" fontId="8" fillId="0" borderId="0" xfId="0" applyFont="1" applyAlignment="1">
      <alignment vertical="center"/>
    </xf>
    <xf numFmtId="0" fontId="2" fillId="0" borderId="0" xfId="0" applyFont="1" applyAlignment="1">
      <alignment horizontal="center"/>
    </xf>
    <xf numFmtId="0" fontId="7" fillId="0" borderId="0" xfId="0" applyFont="1" applyAlignment="1">
      <alignment horizontal="left" vertical="center"/>
    </xf>
    <xf numFmtId="0" fontId="10" fillId="0" borderId="0" xfId="0" applyFont="1"/>
    <xf numFmtId="14" fontId="10" fillId="0" borderId="0" xfId="0" applyNumberFormat="1" applyFont="1"/>
    <xf numFmtId="4" fontId="10" fillId="0" borderId="0" xfId="0" applyNumberFormat="1" applyFont="1"/>
    <xf numFmtId="0" fontId="0" fillId="0" borderId="0" xfId="0" quotePrefix="1"/>
    <xf numFmtId="0" fontId="0" fillId="8" borderId="0" xfId="0" applyFill="1"/>
    <xf numFmtId="0" fontId="0" fillId="8" borderId="0" xfId="0" applyFill="1" applyAlignment="1">
      <alignment horizontal="left"/>
    </xf>
    <xf numFmtId="0" fontId="12" fillId="7" borderId="1" xfId="0" applyFont="1" applyFill="1" applyBorder="1" applyAlignment="1">
      <alignment horizontal="center" vertical="center" wrapText="1"/>
    </xf>
    <xf numFmtId="0" fontId="0" fillId="0" borderId="0" xfId="0" applyAlignment="1">
      <alignment horizontal="left"/>
    </xf>
    <xf numFmtId="0" fontId="12" fillId="0" borderId="1" xfId="0" applyFont="1" applyBorder="1" applyAlignment="1">
      <alignment horizontal="center" vertical="center"/>
    </xf>
    <xf numFmtId="0" fontId="13" fillId="0" borderId="1" xfId="0" applyFont="1" applyBorder="1" applyAlignment="1">
      <alignment horizontal="center" vertical="center"/>
    </xf>
    <xf numFmtId="9" fontId="13" fillId="0" borderId="1" xfId="2" applyFont="1" applyBorder="1" applyAlignment="1">
      <alignment horizontal="center" vertical="center"/>
    </xf>
    <xf numFmtId="0" fontId="15" fillId="9" borderId="3" xfId="0" applyFont="1" applyFill="1" applyBorder="1" applyAlignment="1">
      <alignment horizontal="center" vertical="center" wrapText="1"/>
    </xf>
    <xf numFmtId="0" fontId="15" fillId="10" borderId="3" xfId="0" applyFont="1" applyFill="1" applyBorder="1" applyAlignment="1">
      <alignment horizontal="center" vertical="center" wrapText="1"/>
    </xf>
    <xf numFmtId="0" fontId="15" fillId="5" borderId="7" xfId="0" applyFont="1" applyFill="1" applyBorder="1" applyAlignment="1">
      <alignment horizontal="center" vertical="center" wrapText="1"/>
    </xf>
    <xf numFmtId="0" fontId="15" fillId="5" borderId="9" xfId="0" applyFont="1" applyFill="1" applyBorder="1" applyAlignment="1">
      <alignment horizontal="center" vertical="center" wrapText="1"/>
    </xf>
    <xf numFmtId="0" fontId="11" fillId="6" borderId="1" xfId="0" applyFont="1" applyFill="1" applyBorder="1" applyAlignment="1">
      <alignment horizontal="center" vertical="center"/>
    </xf>
    <xf numFmtId="0" fontId="0" fillId="8" borderId="0" xfId="0" applyFill="1" applyAlignment="1">
      <alignment horizontal="center" vertical="center"/>
    </xf>
    <xf numFmtId="0" fontId="14" fillId="2" borderId="8" xfId="0" applyFont="1" applyFill="1" applyBorder="1" applyAlignment="1">
      <alignment horizontal="left"/>
    </xf>
    <xf numFmtId="0" fontId="0" fillId="0" borderId="2" xfId="0" quotePrefix="1" applyBorder="1" applyAlignment="1">
      <alignment horizontal="center" vertical="center"/>
    </xf>
    <xf numFmtId="0" fontId="11" fillId="13" borderId="1" xfId="0" applyFont="1" applyFill="1" applyBorder="1" applyAlignment="1">
      <alignment horizontal="left" vertical="center" wrapText="1"/>
    </xf>
    <xf numFmtId="0" fontId="11" fillId="13" borderId="1" xfId="0" applyFont="1" applyFill="1" applyBorder="1" applyAlignment="1">
      <alignment horizontal="center" vertical="center" wrapText="1"/>
    </xf>
    <xf numFmtId="0" fontId="0" fillId="0" borderId="2" xfId="0" applyBorder="1" applyAlignment="1">
      <alignment horizontal="center" vertical="center"/>
    </xf>
    <xf numFmtId="0" fontId="11" fillId="13" borderId="4" xfId="0" applyFont="1" applyFill="1" applyBorder="1" applyAlignment="1">
      <alignment horizontal="center" vertical="center" wrapText="1"/>
    </xf>
    <xf numFmtId="0" fontId="14" fillId="6" borderId="3" xfId="0" applyFont="1" applyFill="1" applyBorder="1" applyAlignment="1">
      <alignment horizontal="center" vertical="center" wrapText="1"/>
    </xf>
    <xf numFmtId="0" fontId="0" fillId="8" borderId="0" xfId="0" applyFill="1" applyAlignment="1">
      <alignment horizontal="left" wrapText="1"/>
    </xf>
    <xf numFmtId="14" fontId="0" fillId="0" borderId="0" xfId="0" applyNumberFormat="1" applyAlignment="1">
      <alignment wrapText="1"/>
    </xf>
    <xf numFmtId="0" fontId="18" fillId="0" borderId="0" xfId="0" applyFont="1" applyAlignment="1">
      <alignment horizontal="center" vertical="center" wrapText="1"/>
    </xf>
    <xf numFmtId="0" fontId="18" fillId="0" borderId="0" xfId="0" applyFont="1" applyAlignment="1">
      <alignment wrapText="1"/>
    </xf>
    <xf numFmtId="0" fontId="12" fillId="0" borderId="3" xfId="0" applyFont="1" applyBorder="1" applyAlignment="1">
      <alignment horizontal="center" vertical="center" wrapText="1"/>
    </xf>
    <xf numFmtId="0" fontId="12" fillId="0" borderId="3" xfId="0" applyFont="1" applyBorder="1" applyAlignment="1">
      <alignment horizontal="center" vertical="center"/>
    </xf>
    <xf numFmtId="0" fontId="14" fillId="0" borderId="8" xfId="0" applyFont="1" applyBorder="1" applyAlignment="1">
      <alignment horizontal="center" vertical="center" wrapText="1"/>
    </xf>
    <xf numFmtId="0" fontId="14" fillId="0" borderId="8" xfId="0" applyFont="1" applyBorder="1" applyAlignment="1">
      <alignment horizontal="center" vertical="center"/>
    </xf>
    <xf numFmtId="0" fontId="0" fillId="0" borderId="2" xfId="0" quotePrefix="1" applyBorder="1" applyAlignment="1">
      <alignment horizontal="center" vertical="center" wrapText="1"/>
    </xf>
    <xf numFmtId="0" fontId="0" fillId="0" borderId="2" xfId="0" applyBorder="1" applyAlignment="1">
      <alignment horizontal="center" vertical="center" wrapText="1"/>
    </xf>
    <xf numFmtId="0" fontId="11" fillId="6" borderId="1" xfId="0" applyFont="1" applyFill="1" applyBorder="1" applyAlignment="1">
      <alignment horizontal="left" vertical="center" wrapText="1"/>
    </xf>
    <xf numFmtId="14" fontId="0" fillId="0" borderId="1" xfId="0" applyNumberFormat="1" applyBorder="1"/>
    <xf numFmtId="0" fontId="14" fillId="0" borderId="8" xfId="0" applyFont="1" applyBorder="1" applyAlignment="1">
      <alignment wrapText="1"/>
    </xf>
    <xf numFmtId="0" fontId="0" fillId="19" borderId="17" xfId="0" applyFill="1" applyBorder="1"/>
    <xf numFmtId="0" fontId="0" fillId="19" borderId="0" xfId="0" applyFill="1"/>
    <xf numFmtId="0" fontId="0" fillId="19" borderId="18" xfId="0" applyFill="1" applyBorder="1"/>
    <xf numFmtId="0" fontId="0" fillId="19" borderId="19" xfId="0" applyFill="1" applyBorder="1"/>
    <xf numFmtId="0" fontId="0" fillId="19" borderId="20" xfId="0" applyFill="1" applyBorder="1"/>
    <xf numFmtId="0" fontId="0" fillId="19" borderId="21" xfId="0" applyFill="1" applyBorder="1"/>
    <xf numFmtId="14" fontId="1" fillId="0" borderId="4" xfId="0" applyNumberFormat="1" applyFont="1" applyBorder="1" applyAlignment="1">
      <alignment wrapText="1"/>
    </xf>
    <xf numFmtId="0" fontId="1" fillId="0" borderId="4" xfId="0" applyFont="1" applyBorder="1"/>
    <xf numFmtId="0" fontId="23" fillId="6" borderId="1" xfId="0" applyFont="1" applyFill="1" applyBorder="1" applyAlignment="1">
      <alignment wrapText="1"/>
    </xf>
    <xf numFmtId="14" fontId="0" fillId="0" borderId="0" xfId="0" applyNumberFormat="1"/>
    <xf numFmtId="0" fontId="11" fillId="13" borderId="2" xfId="0" applyFont="1" applyFill="1" applyBorder="1" applyAlignment="1">
      <alignment horizontal="center" vertical="center" wrapText="1"/>
    </xf>
    <xf numFmtId="0" fontId="0" fillId="6" borderId="1" xfId="0" applyFill="1" applyBorder="1" applyAlignment="1">
      <alignment horizontal="center" vertical="center"/>
    </xf>
    <xf numFmtId="0" fontId="11" fillId="6" borderId="4" xfId="0" applyFont="1" applyFill="1" applyBorder="1" applyAlignment="1">
      <alignment horizontal="center" vertical="center"/>
    </xf>
    <xf numFmtId="0" fontId="0" fillId="23" borderId="2" xfId="0" quotePrefix="1" applyFill="1" applyBorder="1" applyAlignment="1">
      <alignment horizontal="center" vertical="center"/>
    </xf>
    <xf numFmtId="0" fontId="0" fillId="23" borderId="2" xfId="0" applyFill="1" applyBorder="1" applyAlignment="1">
      <alignment horizontal="center" vertical="center"/>
    </xf>
    <xf numFmtId="0" fontId="34" fillId="8" borderId="0" xfId="0" applyFont="1" applyFill="1" applyAlignment="1">
      <alignment horizontal="left"/>
    </xf>
    <xf numFmtId="0" fontId="34" fillId="8" borderId="0" xfId="0" applyFont="1" applyFill="1"/>
    <xf numFmtId="0" fontId="34" fillId="8" borderId="0" xfId="0" applyFont="1" applyFill="1" applyAlignment="1">
      <alignment horizontal="center" vertical="center"/>
    </xf>
    <xf numFmtId="0" fontId="0" fillId="8" borderId="0" xfId="0" applyFill="1" applyAlignment="1">
      <alignment horizontal="right"/>
    </xf>
    <xf numFmtId="49" fontId="17" fillId="8" borderId="0" xfId="0" applyNumberFormat="1" applyFont="1" applyFill="1" applyAlignment="1">
      <alignment horizontal="right"/>
    </xf>
    <xf numFmtId="0" fontId="14" fillId="0" borderId="3" xfId="0" applyFont="1" applyBorder="1" applyAlignment="1">
      <alignment horizontal="center" vertical="center"/>
    </xf>
    <xf numFmtId="0" fontId="15" fillId="0" borderId="3" xfId="0" applyFont="1" applyBorder="1" applyAlignment="1">
      <alignment horizontal="center" vertical="center" wrapText="1"/>
    </xf>
    <xf numFmtId="14" fontId="11" fillId="13" borderId="1" xfId="0" applyNumberFormat="1" applyFont="1" applyFill="1" applyBorder="1" applyAlignment="1">
      <alignment horizontal="left" vertical="center" wrapText="1"/>
    </xf>
    <xf numFmtId="0" fontId="11" fillId="13" borderId="4" xfId="0" applyFont="1" applyFill="1" applyBorder="1" applyAlignment="1">
      <alignment horizontal="left" vertical="center" wrapText="1"/>
    </xf>
    <xf numFmtId="14" fontId="11" fillId="13" borderId="4" xfId="0" applyNumberFormat="1" applyFont="1" applyFill="1" applyBorder="1" applyAlignment="1">
      <alignment horizontal="left" vertical="center" wrapText="1"/>
    </xf>
    <xf numFmtId="14" fontId="31" fillId="20" borderId="0" xfId="0" applyNumberFormat="1" applyFont="1" applyFill="1" applyAlignment="1">
      <alignment horizontal="center" wrapText="1"/>
    </xf>
    <xf numFmtId="0" fontId="14" fillId="6" borderId="1" xfId="0" applyFont="1" applyFill="1" applyBorder="1" applyAlignment="1">
      <alignment horizontal="center" vertical="center"/>
    </xf>
    <xf numFmtId="0" fontId="15" fillId="13" borderId="1" xfId="0" applyFont="1" applyFill="1" applyBorder="1" applyAlignment="1">
      <alignment horizontal="center" vertical="center" wrapText="1"/>
    </xf>
    <xf numFmtId="14" fontId="14" fillId="6" borderId="1" xfId="0" applyNumberFormat="1" applyFont="1" applyFill="1" applyBorder="1" applyAlignment="1">
      <alignment horizontal="center" vertical="center"/>
    </xf>
    <xf numFmtId="0" fontId="0" fillId="8" borderId="0" xfId="0" applyFill="1" applyAlignment="1">
      <alignment horizontal="left" vertical="center"/>
    </xf>
    <xf numFmtId="0" fontId="34" fillId="0" borderId="0" xfId="0" applyFont="1"/>
    <xf numFmtId="0" fontId="23" fillId="13" borderId="1" xfId="0" applyFont="1" applyFill="1" applyBorder="1" applyAlignment="1">
      <alignment horizontal="center" vertical="center" wrapText="1"/>
    </xf>
    <xf numFmtId="0" fontId="34" fillId="6" borderId="1" xfId="0" applyFont="1" applyFill="1" applyBorder="1" applyAlignment="1">
      <alignment horizontal="center" vertical="center"/>
    </xf>
    <xf numFmtId="0" fontId="14" fillId="0" borderId="8" xfId="0" applyFont="1" applyBorder="1"/>
    <xf numFmtId="0" fontId="36" fillId="0" borderId="0" xfId="0" applyFont="1"/>
    <xf numFmtId="2" fontId="0" fillId="0" borderId="0" xfId="0" applyNumberFormat="1" applyAlignment="1">
      <alignment wrapText="1"/>
    </xf>
    <xf numFmtId="2" fontId="0" fillId="0" borderId="0" xfId="0" applyNumberFormat="1"/>
    <xf numFmtId="0" fontId="0" fillId="0" borderId="0" xfId="0" applyAlignment="1">
      <alignment horizontal="center" vertical="center" wrapText="1"/>
    </xf>
    <xf numFmtId="0" fontId="23" fillId="13" borderId="2" xfId="0" applyFont="1" applyFill="1" applyBorder="1" applyAlignment="1">
      <alignment horizontal="center" vertical="center" wrapText="1"/>
    </xf>
    <xf numFmtId="0" fontId="11" fillId="6" borderId="2" xfId="0" applyFont="1" applyFill="1" applyBorder="1" applyAlignment="1">
      <alignment horizontal="left" vertical="center" wrapText="1"/>
    </xf>
    <xf numFmtId="0" fontId="0" fillId="8" borderId="1" xfId="0" applyFill="1" applyBorder="1" applyAlignment="1">
      <alignment horizontal="center" vertical="center"/>
    </xf>
    <xf numFmtId="0" fontId="11" fillId="13" borderId="0" xfId="0" applyFont="1" applyFill="1" applyAlignment="1">
      <alignment horizontal="center" vertical="center" wrapText="1"/>
    </xf>
    <xf numFmtId="0" fontId="0" fillId="8" borderId="4" xfId="0" applyFill="1" applyBorder="1"/>
    <xf numFmtId="0" fontId="0" fillId="8" borderId="4" xfId="0" applyFill="1" applyBorder="1" applyAlignment="1">
      <alignment horizontal="center" vertical="center"/>
    </xf>
    <xf numFmtId="0" fontId="0" fillId="6" borderId="4" xfId="0" applyFill="1" applyBorder="1" applyAlignment="1">
      <alignment horizontal="center" vertical="center"/>
    </xf>
    <xf numFmtId="0" fontId="17" fillId="0" borderId="2" xfId="0" quotePrefix="1" applyFont="1" applyBorder="1" applyAlignment="1">
      <alignment horizontal="center" vertical="center"/>
    </xf>
    <xf numFmtId="0" fontId="17" fillId="0" borderId="2" xfId="0" quotePrefix="1" applyFont="1" applyBorder="1" applyAlignment="1">
      <alignment horizontal="center" vertical="center" wrapText="1"/>
    </xf>
    <xf numFmtId="0" fontId="37" fillId="13" borderId="1" xfId="0" applyFont="1" applyFill="1" applyBorder="1" applyAlignment="1">
      <alignment horizontal="center" vertical="center" wrapText="1"/>
    </xf>
    <xf numFmtId="0" fontId="37" fillId="13" borderId="2" xfId="0" applyFont="1" applyFill="1" applyBorder="1" applyAlignment="1">
      <alignment horizontal="center" vertical="center" wrapText="1"/>
    </xf>
    <xf numFmtId="0" fontId="17" fillId="6" borderId="1" xfId="0" applyFont="1" applyFill="1" applyBorder="1" applyAlignment="1">
      <alignment horizontal="center" vertical="center"/>
    </xf>
    <xf numFmtId="0" fontId="17" fillId="0" borderId="0" xfId="0" applyFont="1"/>
    <xf numFmtId="0" fontId="37" fillId="13" borderId="0" xfId="0" applyFont="1" applyFill="1" applyAlignment="1">
      <alignment horizontal="center" vertical="center" wrapText="1"/>
    </xf>
    <xf numFmtId="0" fontId="12" fillId="0" borderId="13" xfId="0" applyFont="1" applyBorder="1" applyAlignment="1">
      <alignment vertical="center" wrapText="1"/>
    </xf>
    <xf numFmtId="0" fontId="37" fillId="13" borderId="1" xfId="0" applyFont="1" applyFill="1" applyBorder="1" applyAlignment="1">
      <alignment horizontal="left" vertical="center" wrapText="1"/>
    </xf>
    <xf numFmtId="0" fontId="37" fillId="6" borderId="1" xfId="0" applyFont="1" applyFill="1" applyBorder="1" applyAlignment="1">
      <alignment horizontal="center" vertical="center"/>
    </xf>
    <xf numFmtId="9" fontId="12" fillId="0" borderId="1" xfId="2" applyFont="1" applyBorder="1" applyAlignment="1">
      <alignment horizontal="center" vertical="center"/>
    </xf>
    <xf numFmtId="0" fontId="14" fillId="13" borderId="1" xfId="0" applyFont="1" applyFill="1" applyBorder="1" applyAlignment="1">
      <alignment horizontal="center" vertical="center" wrapText="1"/>
    </xf>
    <xf numFmtId="0" fontId="34" fillId="0" borderId="2" xfId="0" applyFont="1" applyBorder="1" applyAlignment="1">
      <alignment horizontal="center" vertical="center"/>
    </xf>
    <xf numFmtId="0" fontId="34" fillId="0" borderId="2" xfId="0" quotePrefix="1" applyFont="1" applyBorder="1" applyAlignment="1">
      <alignment horizontal="center" vertical="center" wrapText="1"/>
    </xf>
    <xf numFmtId="0" fontId="34" fillId="0" borderId="2" xfId="0" quotePrefix="1" applyFont="1" applyBorder="1" applyAlignment="1">
      <alignment horizontal="center" vertical="center"/>
    </xf>
    <xf numFmtId="14" fontId="23" fillId="13" borderId="1" xfId="0" applyNumberFormat="1" applyFont="1" applyFill="1" applyBorder="1" applyAlignment="1">
      <alignment horizontal="left" vertical="center" wrapText="1"/>
    </xf>
    <xf numFmtId="0" fontId="23" fillId="13" borderId="1" xfId="0" applyFont="1" applyFill="1" applyBorder="1" applyAlignment="1">
      <alignment horizontal="left" vertical="center" wrapText="1"/>
    </xf>
    <xf numFmtId="0" fontId="23" fillId="6" borderId="1" xfId="0" applyFont="1" applyFill="1" applyBorder="1" applyAlignment="1">
      <alignment horizontal="center" vertical="center"/>
    </xf>
    <xf numFmtId="0" fontId="34" fillId="0" borderId="2" xfId="0" applyFont="1" applyBorder="1" applyAlignment="1">
      <alignment horizontal="center" vertical="center" wrapText="1"/>
    </xf>
    <xf numFmtId="0" fontId="23" fillId="13" borderId="4" xfId="0" applyFont="1" applyFill="1" applyBorder="1" applyAlignment="1">
      <alignment horizontal="left" vertical="center" wrapText="1"/>
    </xf>
    <xf numFmtId="0" fontId="23" fillId="6" borderId="4" xfId="0" applyFont="1" applyFill="1" applyBorder="1" applyAlignment="1">
      <alignment horizontal="center" vertical="center"/>
    </xf>
    <xf numFmtId="14" fontId="11" fillId="0" borderId="1" xfId="0" applyNumberFormat="1" applyFont="1" applyBorder="1" applyAlignment="1">
      <alignment horizontal="left" vertical="center" wrapText="1"/>
    </xf>
    <xf numFmtId="14" fontId="11" fillId="2" borderId="1" xfId="0" applyNumberFormat="1" applyFont="1" applyFill="1" applyBorder="1" applyAlignment="1">
      <alignment horizontal="left" vertical="center" wrapText="1"/>
    </xf>
    <xf numFmtId="14" fontId="11" fillId="22" borderId="4" xfId="0" applyNumberFormat="1" applyFont="1" applyFill="1" applyBorder="1" applyAlignment="1">
      <alignment horizontal="left" vertical="center" wrapText="1"/>
    </xf>
    <xf numFmtId="14" fontId="11" fillId="6" borderId="1" xfId="0" applyNumberFormat="1" applyFont="1" applyFill="1" applyBorder="1" applyAlignment="1">
      <alignment horizontal="left" vertical="center" wrapText="1"/>
    </xf>
    <xf numFmtId="0" fontId="0" fillId="23" borderId="2" xfId="0" quotePrefix="1" applyFill="1" applyBorder="1" applyAlignment="1">
      <alignment horizontal="center" vertical="center" wrapText="1"/>
    </xf>
    <xf numFmtId="0" fontId="0" fillId="23" borderId="2" xfId="0" applyFill="1" applyBorder="1" applyAlignment="1">
      <alignment horizontal="center" vertical="center" wrapText="1"/>
    </xf>
    <xf numFmtId="0" fontId="17" fillId="0" borderId="2" xfId="0" applyFont="1" applyBorder="1" applyAlignment="1">
      <alignment horizontal="center" vertical="center"/>
    </xf>
    <xf numFmtId="0" fontId="17" fillId="0" borderId="2" xfId="0" applyFont="1" applyBorder="1" applyAlignment="1">
      <alignment horizontal="center" vertical="center" wrapText="1"/>
    </xf>
    <xf numFmtId="0" fontId="37" fillId="13" borderId="4" xfId="0" applyFont="1" applyFill="1" applyBorder="1" applyAlignment="1">
      <alignment horizontal="left" vertical="center" wrapText="1"/>
    </xf>
    <xf numFmtId="0" fontId="37" fillId="13" borderId="4" xfId="0" applyFont="1" applyFill="1" applyBorder="1" applyAlignment="1">
      <alignment horizontal="center" vertical="center" wrapText="1"/>
    </xf>
    <xf numFmtId="0" fontId="37" fillId="6" borderId="4" xfId="0" applyFont="1" applyFill="1" applyBorder="1" applyAlignment="1">
      <alignment horizontal="center" vertical="center"/>
    </xf>
    <xf numFmtId="49" fontId="0" fillId="0" borderId="2" xfId="0" applyNumberFormat="1" applyBorder="1" applyAlignment="1">
      <alignment horizontal="center" vertical="center"/>
    </xf>
    <xf numFmtId="49" fontId="0" fillId="0" borderId="2" xfId="0" quotePrefix="1" applyNumberFormat="1" applyBorder="1" applyAlignment="1">
      <alignment horizontal="center" vertical="center"/>
    </xf>
    <xf numFmtId="0" fontId="0" fillId="24" borderId="2" xfId="0" quotePrefix="1" applyFill="1" applyBorder="1" applyAlignment="1">
      <alignment horizontal="center" vertical="center"/>
    </xf>
    <xf numFmtId="0" fontId="0" fillId="24" borderId="2" xfId="0" applyFill="1" applyBorder="1" applyAlignment="1">
      <alignment horizontal="center" vertical="center"/>
    </xf>
    <xf numFmtId="0" fontId="0" fillId="25" borderId="2" xfId="0" applyFill="1" applyBorder="1" applyAlignment="1">
      <alignment horizontal="center" vertical="center"/>
    </xf>
    <xf numFmtId="0" fontId="0" fillId="25" borderId="2" xfId="0" quotePrefix="1" applyFill="1" applyBorder="1" applyAlignment="1">
      <alignment horizontal="center" vertical="center" wrapText="1"/>
    </xf>
    <xf numFmtId="0" fontId="0" fillId="25" borderId="2" xfId="0" quotePrefix="1" applyFill="1" applyBorder="1" applyAlignment="1">
      <alignment horizontal="center" vertical="center"/>
    </xf>
    <xf numFmtId="0" fontId="11" fillId="0" borderId="1" xfId="0" applyFont="1" applyBorder="1" applyAlignment="1">
      <alignment horizontal="left" vertical="center" wrapText="1"/>
    </xf>
    <xf numFmtId="0" fontId="11" fillId="0" borderId="1" xfId="0" applyFont="1" applyBorder="1" applyAlignment="1">
      <alignment horizontal="center" vertical="center" wrapText="1"/>
    </xf>
    <xf numFmtId="0" fontId="11" fillId="0" borderId="2" xfId="0" applyFont="1" applyBorder="1" applyAlignment="1">
      <alignment horizontal="center" vertical="center" wrapText="1"/>
    </xf>
    <xf numFmtId="0" fontId="11" fillId="0" borderId="2" xfId="0" applyFont="1" applyBorder="1" applyAlignment="1">
      <alignment horizontal="left" vertical="center" wrapText="1"/>
    </xf>
    <xf numFmtId="0" fontId="33" fillId="0" borderId="1" xfId="0" applyFont="1" applyBorder="1" applyAlignment="1">
      <alignment horizontal="left" vertical="center" wrapText="1"/>
    </xf>
    <xf numFmtId="0" fontId="29" fillId="0" borderId="1" xfId="0" applyFont="1" applyBorder="1" applyAlignment="1">
      <alignment horizontal="left" vertical="center" wrapText="1"/>
    </xf>
    <xf numFmtId="0" fontId="11" fillId="0" borderId="4" xfId="0" applyFont="1" applyBorder="1" applyAlignment="1">
      <alignment horizontal="center" vertical="center" wrapText="1"/>
    </xf>
    <xf numFmtId="0" fontId="11" fillId="0" borderId="0" xfId="0" applyFont="1" applyAlignment="1">
      <alignment horizontal="center" vertical="center" wrapText="1"/>
    </xf>
    <xf numFmtId="0" fontId="11" fillId="25" borderId="1" xfId="0" applyFont="1" applyFill="1" applyBorder="1" applyAlignment="1">
      <alignment horizontal="center" vertical="center" wrapText="1"/>
    </xf>
    <xf numFmtId="0" fontId="11" fillId="25" borderId="2" xfId="0" applyFont="1" applyFill="1" applyBorder="1" applyAlignment="1">
      <alignment horizontal="center" vertical="center" wrapText="1"/>
    </xf>
    <xf numFmtId="0" fontId="0" fillId="25" borderId="1" xfId="0" quotePrefix="1" applyFill="1" applyBorder="1" applyAlignment="1">
      <alignment horizontal="center" vertical="center"/>
    </xf>
    <xf numFmtId="0" fontId="0" fillId="24" borderId="2" xfId="0" applyFill="1" applyBorder="1" applyAlignment="1">
      <alignment horizontal="center" vertical="center" wrapText="1"/>
    </xf>
    <xf numFmtId="0" fontId="11" fillId="24" borderId="1" xfId="0" applyFont="1" applyFill="1" applyBorder="1" applyAlignment="1">
      <alignment horizontal="center" vertical="center" wrapText="1"/>
    </xf>
    <xf numFmtId="0" fontId="11" fillId="24" borderId="2" xfId="0" applyFont="1" applyFill="1" applyBorder="1" applyAlignment="1">
      <alignment horizontal="center" vertical="center" wrapText="1"/>
    </xf>
    <xf numFmtId="0" fontId="0" fillId="24" borderId="1" xfId="0" applyFill="1" applyBorder="1" applyAlignment="1">
      <alignment horizontal="center" vertical="center"/>
    </xf>
    <xf numFmtId="0" fontId="0" fillId="24" borderId="0" xfId="0" applyFill="1"/>
    <xf numFmtId="14" fontId="37" fillId="13" borderId="1" xfId="0" applyNumberFormat="1" applyFont="1" applyFill="1" applyBorder="1" applyAlignment="1">
      <alignment horizontal="left" vertical="center" wrapText="1"/>
    </xf>
    <xf numFmtId="14" fontId="11" fillId="0" borderId="4" xfId="0" applyNumberFormat="1" applyFont="1" applyBorder="1" applyAlignment="1">
      <alignment horizontal="left" vertical="center" wrapText="1"/>
    </xf>
    <xf numFmtId="14" fontId="40" fillId="4" borderId="4" xfId="0" applyNumberFormat="1" applyFont="1" applyFill="1" applyBorder="1" applyAlignment="1">
      <alignment horizontal="left" vertical="center" wrapText="1"/>
    </xf>
    <xf numFmtId="0" fontId="17" fillId="0" borderId="2" xfId="0" applyFont="1" applyBorder="1" applyAlignment="1">
      <alignment horizontal="left" vertical="center"/>
    </xf>
    <xf numFmtId="0" fontId="22" fillId="0" borderId="1" xfId="0" applyFont="1" applyBorder="1" applyAlignment="1">
      <alignment horizontal="center" vertical="center" wrapText="1"/>
    </xf>
    <xf numFmtId="12" fontId="15" fillId="12" borderId="1" xfId="0" applyNumberFormat="1" applyFont="1" applyFill="1" applyBorder="1" applyAlignment="1">
      <alignment horizontal="center" vertical="center" wrapText="1"/>
    </xf>
    <xf numFmtId="0" fontId="14" fillId="6" borderId="1" xfId="0" applyFont="1" applyFill="1" applyBorder="1" applyAlignment="1">
      <alignment horizontal="left" vertical="center" wrapText="1"/>
    </xf>
    <xf numFmtId="0" fontId="0" fillId="6" borderId="2" xfId="0" applyFill="1" applyBorder="1" applyAlignment="1">
      <alignment horizontal="center" vertical="center"/>
    </xf>
    <xf numFmtId="0" fontId="41" fillId="0" borderId="1" xfId="0" applyFont="1" applyBorder="1" applyAlignment="1">
      <alignment horizontal="left" vertical="center" wrapText="1"/>
    </xf>
    <xf numFmtId="0" fontId="41" fillId="6" borderId="1" xfId="0" applyFont="1" applyFill="1" applyBorder="1" applyAlignment="1">
      <alignment horizontal="left" vertical="center" wrapText="1"/>
    </xf>
    <xf numFmtId="0" fontId="42" fillId="6" borderId="2" xfId="0" applyFont="1" applyFill="1" applyBorder="1" applyAlignment="1">
      <alignment horizontal="center" vertical="center"/>
    </xf>
    <xf numFmtId="0" fontId="43" fillId="0" borderId="2" xfId="0" applyFont="1" applyBorder="1" applyAlignment="1">
      <alignment horizontal="center" vertical="center"/>
    </xf>
    <xf numFmtId="14" fontId="43" fillId="0" borderId="2" xfId="0" applyNumberFormat="1" applyFont="1" applyBorder="1" applyAlignment="1">
      <alignment horizontal="center" vertical="center"/>
    </xf>
    <xf numFmtId="0" fontId="43" fillId="0" borderId="1" xfId="0" applyFont="1" applyBorder="1" applyAlignment="1">
      <alignment horizontal="left" vertical="center" wrapText="1"/>
    </xf>
    <xf numFmtId="0" fontId="43" fillId="24" borderId="2" xfId="0" applyFont="1" applyFill="1" applyBorder="1" applyAlignment="1">
      <alignment horizontal="center" vertical="center"/>
    </xf>
    <xf numFmtId="14" fontId="43" fillId="24" borderId="2" xfId="0" applyNumberFormat="1" applyFont="1" applyFill="1" applyBorder="1" applyAlignment="1">
      <alignment horizontal="center" vertical="center"/>
    </xf>
    <xf numFmtId="0" fontId="44" fillId="6" borderId="1" xfId="0" applyFont="1" applyFill="1" applyBorder="1" applyAlignment="1">
      <alignment horizontal="left" vertical="center" wrapText="1"/>
    </xf>
    <xf numFmtId="0" fontId="41" fillId="0" borderId="1" xfId="0" applyFont="1" applyBorder="1" applyAlignment="1">
      <alignment wrapText="1"/>
    </xf>
    <xf numFmtId="14" fontId="45" fillId="0" borderId="2" xfId="0" applyNumberFormat="1" applyFont="1" applyBorder="1" applyAlignment="1">
      <alignment horizontal="center" vertical="center"/>
    </xf>
    <xf numFmtId="0" fontId="46" fillId="0" borderId="2" xfId="0" applyFont="1" applyBorder="1" applyAlignment="1">
      <alignment horizontal="center" vertical="center"/>
    </xf>
    <xf numFmtId="0" fontId="44" fillId="6" borderId="2" xfId="0" applyFont="1" applyFill="1" applyBorder="1" applyAlignment="1">
      <alignment horizontal="left" vertical="center" wrapText="1"/>
    </xf>
    <xf numFmtId="0" fontId="41" fillId="0" borderId="4" xfId="0" applyFont="1" applyBorder="1" applyAlignment="1">
      <alignment wrapText="1"/>
    </xf>
    <xf numFmtId="0" fontId="41" fillId="6" borderId="4" xfId="0" applyFont="1" applyFill="1" applyBorder="1" applyAlignment="1">
      <alignment wrapText="1"/>
    </xf>
    <xf numFmtId="0" fontId="45" fillId="0" borderId="2" xfId="0" applyFont="1" applyBorder="1" applyAlignment="1">
      <alignment horizontal="center" vertical="center"/>
    </xf>
    <xf numFmtId="0" fontId="48" fillId="0" borderId="2" xfId="0" applyFont="1" applyBorder="1" applyAlignment="1">
      <alignment horizontal="center" vertical="center"/>
    </xf>
    <xf numFmtId="14" fontId="48" fillId="0" borderId="2" xfId="0" applyNumberFormat="1" applyFont="1" applyBorder="1" applyAlignment="1">
      <alignment horizontal="center" vertical="center"/>
    </xf>
    <xf numFmtId="0" fontId="41" fillId="6" borderId="1" xfId="0" quotePrefix="1" applyFont="1" applyFill="1" applyBorder="1" applyAlignment="1">
      <alignment horizontal="left" vertical="center" wrapText="1"/>
    </xf>
    <xf numFmtId="0" fontId="43" fillId="0" borderId="1" xfId="0" quotePrefix="1" applyFont="1" applyBorder="1" applyAlignment="1">
      <alignment horizontal="left" vertical="center" wrapText="1"/>
    </xf>
    <xf numFmtId="14" fontId="43" fillId="0" borderId="2" xfId="0" quotePrefix="1" applyNumberFormat="1" applyFont="1" applyBorder="1" applyAlignment="1">
      <alignment horizontal="center" vertical="center"/>
    </xf>
    <xf numFmtId="0" fontId="43" fillId="6" borderId="1" xfId="0" quotePrefix="1" applyFont="1" applyFill="1" applyBorder="1" applyAlignment="1">
      <alignment horizontal="left" vertical="center" wrapText="1"/>
    </xf>
    <xf numFmtId="0" fontId="47" fillId="2" borderId="1" xfId="0" quotePrefix="1" applyFont="1" applyFill="1" applyBorder="1" applyAlignment="1">
      <alignment horizontal="left" vertical="center" wrapText="1"/>
    </xf>
    <xf numFmtId="9" fontId="0" fillId="0" borderId="0" xfId="2" applyFont="1"/>
    <xf numFmtId="12" fontId="35" fillId="11" borderId="5" xfId="0" applyNumberFormat="1" applyFont="1" applyFill="1" applyBorder="1" applyAlignment="1">
      <alignment vertical="center" wrapText="1"/>
    </xf>
    <xf numFmtId="0" fontId="22" fillId="13" borderId="1" xfId="0" applyFont="1" applyFill="1" applyBorder="1" applyAlignment="1">
      <alignment horizontal="center" vertical="center" wrapText="1"/>
    </xf>
    <xf numFmtId="0" fontId="32" fillId="6" borderId="2" xfId="0" applyFont="1" applyFill="1" applyBorder="1" applyAlignment="1">
      <alignment horizontal="center" vertical="center"/>
    </xf>
    <xf numFmtId="14" fontId="32" fillId="6" borderId="2" xfId="0" applyNumberFormat="1" applyFont="1" applyFill="1" applyBorder="1" applyAlignment="1">
      <alignment horizontal="center" vertical="center"/>
    </xf>
    <xf numFmtId="14" fontId="32" fillId="6" borderId="2" xfId="0" quotePrefix="1" applyNumberFormat="1" applyFont="1" applyFill="1" applyBorder="1" applyAlignment="1">
      <alignment horizontal="center" vertical="center"/>
    </xf>
    <xf numFmtId="0" fontId="38" fillId="6" borderId="2" xfId="0" quotePrefix="1" applyFont="1" applyFill="1" applyBorder="1" applyAlignment="1">
      <alignment horizontal="left" vertical="center" wrapText="1"/>
    </xf>
    <xf numFmtId="0" fontId="38" fillId="13" borderId="1" xfId="0" applyFont="1" applyFill="1" applyBorder="1" applyAlignment="1">
      <alignment horizontal="left" vertical="center" wrapText="1"/>
    </xf>
    <xf numFmtId="0" fontId="32" fillId="6" borderId="1" xfId="0" quotePrefix="1" applyFont="1" applyFill="1" applyBorder="1" applyAlignment="1">
      <alignment horizontal="left" vertical="center" wrapText="1"/>
    </xf>
    <xf numFmtId="0" fontId="22" fillId="13" borderId="1" xfId="0" applyFont="1" applyFill="1" applyBorder="1" applyAlignment="1">
      <alignment horizontal="left" vertical="center" wrapText="1"/>
    </xf>
    <xf numFmtId="0" fontId="22" fillId="13" borderId="1" xfId="0" quotePrefix="1" applyFont="1" applyFill="1" applyBorder="1" applyAlignment="1">
      <alignment horizontal="center" vertical="center" wrapText="1"/>
    </xf>
    <xf numFmtId="0" fontId="32" fillId="0" borderId="2" xfId="0" applyFont="1" applyBorder="1" applyAlignment="1">
      <alignment horizontal="center" vertical="center"/>
    </xf>
    <xf numFmtId="14" fontId="32" fillId="0" borderId="2" xfId="0" applyNumberFormat="1" applyFont="1" applyBorder="1" applyAlignment="1">
      <alignment horizontal="center" vertical="center"/>
    </xf>
    <xf numFmtId="0" fontId="22" fillId="6" borderId="2" xfId="0" applyFont="1" applyFill="1" applyBorder="1" applyAlignment="1">
      <alignment horizontal="left" vertical="center" wrapText="1"/>
    </xf>
    <xf numFmtId="0" fontId="22" fillId="0" borderId="1" xfId="0" quotePrefix="1" applyFont="1" applyBorder="1" applyAlignment="1">
      <alignment horizontal="center" vertical="center" wrapText="1"/>
    </xf>
    <xf numFmtId="0" fontId="22" fillId="0" borderId="1" xfId="0" applyFont="1" applyBorder="1" applyAlignment="1">
      <alignment horizontal="left" vertical="center" wrapText="1"/>
    </xf>
    <xf numFmtId="0" fontId="22" fillId="25" borderId="1" xfId="0" applyFont="1" applyFill="1" applyBorder="1" applyAlignment="1">
      <alignment horizontal="center" vertical="center" wrapText="1"/>
    </xf>
    <xf numFmtId="0" fontId="32" fillId="25" borderId="2" xfId="0" applyFont="1" applyFill="1" applyBorder="1" applyAlignment="1">
      <alignment horizontal="center" vertical="center"/>
    </xf>
    <xf numFmtId="14" fontId="32" fillId="25" borderId="2" xfId="0" applyNumberFormat="1" applyFont="1" applyFill="1" applyBorder="1" applyAlignment="1">
      <alignment horizontal="center" vertical="center"/>
    </xf>
    <xf numFmtId="0" fontId="22" fillId="25" borderId="2" xfId="0" applyFont="1" applyFill="1" applyBorder="1" applyAlignment="1">
      <alignment horizontal="left" vertical="center" wrapText="1"/>
    </xf>
    <xf numFmtId="0" fontId="22" fillId="25" borderId="1" xfId="0" applyFont="1" applyFill="1" applyBorder="1" applyAlignment="1">
      <alignment horizontal="left" vertical="center" wrapText="1"/>
    </xf>
    <xf numFmtId="0" fontId="22" fillId="6" borderId="1" xfId="0" applyFont="1" applyFill="1" applyBorder="1" applyAlignment="1">
      <alignment horizontal="left" vertical="center" wrapText="1"/>
    </xf>
    <xf numFmtId="0" fontId="22" fillId="14" borderId="1" xfId="0" applyFont="1" applyFill="1" applyBorder="1" applyAlignment="1">
      <alignment horizontal="center" vertical="center" wrapText="1"/>
    </xf>
    <xf numFmtId="0" fontId="32" fillId="6" borderId="2" xfId="0" quotePrefix="1" applyFont="1" applyFill="1" applyBorder="1" applyAlignment="1">
      <alignment horizontal="left" vertical="center" wrapText="1"/>
    </xf>
    <xf numFmtId="0" fontId="32" fillId="0" borderId="1" xfId="0" quotePrefix="1" applyFont="1" applyBorder="1" applyAlignment="1">
      <alignment horizontal="left" vertical="center" wrapText="1"/>
    </xf>
    <xf numFmtId="0" fontId="22" fillId="0" borderId="2" xfId="0" quotePrefix="1" applyFont="1" applyBorder="1" applyAlignment="1">
      <alignment horizontal="left" vertical="center" wrapText="1"/>
    </xf>
    <xf numFmtId="0" fontId="22" fillId="14" borderId="1" xfId="0" quotePrefix="1" applyFont="1" applyFill="1" applyBorder="1" applyAlignment="1">
      <alignment horizontal="center" vertical="center" wrapText="1"/>
    </xf>
    <xf numFmtId="0" fontId="22" fillId="4" borderId="1" xfId="0" quotePrefix="1" applyFont="1" applyFill="1" applyBorder="1" applyAlignment="1">
      <alignment horizontal="left" vertical="center" wrapText="1"/>
    </xf>
    <xf numFmtId="0" fontId="32" fillId="4" borderId="1" xfId="0" quotePrefix="1" applyFont="1" applyFill="1" applyBorder="1" applyAlignment="1">
      <alignment horizontal="left" vertical="center" wrapText="1"/>
    </xf>
    <xf numFmtId="0" fontId="22" fillId="0" borderId="1" xfId="0" quotePrefix="1" applyFont="1" applyBorder="1" applyAlignment="1">
      <alignment horizontal="left" vertical="center" wrapText="1"/>
    </xf>
    <xf numFmtId="0" fontId="32" fillId="22" borderId="1" xfId="0" quotePrefix="1" applyFont="1" applyFill="1" applyBorder="1" applyAlignment="1">
      <alignment horizontal="left" vertical="center" wrapText="1"/>
    </xf>
    <xf numFmtId="0" fontId="22" fillId="6" borderId="1" xfId="0" quotePrefix="1" applyFont="1" applyFill="1" applyBorder="1" applyAlignment="1">
      <alignment horizontal="left" vertical="center" wrapText="1"/>
    </xf>
    <xf numFmtId="0" fontId="32" fillId="2" borderId="1" xfId="0" quotePrefix="1" applyFont="1" applyFill="1" applyBorder="1" applyAlignment="1">
      <alignment horizontal="left" vertical="center" wrapText="1"/>
    </xf>
    <xf numFmtId="0" fontId="22" fillId="24" borderId="1" xfId="0" applyFont="1" applyFill="1" applyBorder="1" applyAlignment="1">
      <alignment horizontal="center" vertical="center" wrapText="1"/>
    </xf>
    <xf numFmtId="0" fontId="32" fillId="24" borderId="1" xfId="0" quotePrefix="1" applyFont="1" applyFill="1" applyBorder="1" applyAlignment="1">
      <alignment horizontal="left" vertical="center" wrapText="1"/>
    </xf>
    <xf numFmtId="0" fontId="22" fillId="24" borderId="1" xfId="0" applyFont="1" applyFill="1" applyBorder="1" applyAlignment="1">
      <alignment horizontal="left" vertical="center" wrapText="1"/>
    </xf>
    <xf numFmtId="0" fontId="32" fillId="0" borderId="1" xfId="0" applyFont="1" applyBorder="1"/>
    <xf numFmtId="0" fontId="32" fillId="0" borderId="2" xfId="0" quotePrefix="1" applyFont="1" applyBorder="1" applyAlignment="1">
      <alignment horizontal="left" vertical="center" wrapText="1"/>
    </xf>
    <xf numFmtId="0" fontId="27" fillId="6" borderId="1" xfId="0" applyFont="1" applyFill="1" applyBorder="1" applyAlignment="1">
      <alignment horizontal="left" vertical="center" wrapText="1"/>
    </xf>
    <xf numFmtId="0" fontId="38" fillId="13" borderId="1" xfId="0" applyFont="1" applyFill="1" applyBorder="1" applyAlignment="1">
      <alignment horizontal="center" vertical="center" wrapText="1"/>
    </xf>
    <xf numFmtId="0" fontId="38" fillId="0" borderId="2" xfId="0" applyFont="1" applyBorder="1" applyAlignment="1">
      <alignment horizontal="center" vertical="center"/>
    </xf>
    <xf numFmtId="14" fontId="38" fillId="0" borderId="2" xfId="0" applyNumberFormat="1" applyFont="1" applyBorder="1" applyAlignment="1">
      <alignment horizontal="center" vertical="center"/>
    </xf>
    <xf numFmtId="0" fontId="22" fillId="22" borderId="1" xfId="0" quotePrefix="1" applyFont="1" applyFill="1" applyBorder="1" applyAlignment="1">
      <alignment horizontal="left" vertical="center" wrapText="1"/>
    </xf>
    <xf numFmtId="0" fontId="4" fillId="11" borderId="0" xfId="0" applyFont="1" applyFill="1"/>
    <xf numFmtId="0" fontId="6" fillId="0" borderId="7" xfId="0" quotePrefix="1" applyFont="1" applyBorder="1" applyAlignment="1">
      <alignment horizontal="center" vertical="center" wrapText="1"/>
    </xf>
    <xf numFmtId="0" fontId="38" fillId="0" borderId="1" xfId="0" applyFont="1" applyBorder="1"/>
    <xf numFmtId="0" fontId="32" fillId="0" borderId="2" xfId="0" applyFont="1" applyBorder="1"/>
    <xf numFmtId="0" fontId="22" fillId="2" borderId="1" xfId="0" applyFont="1" applyFill="1" applyBorder="1" applyAlignment="1">
      <alignment horizontal="left" vertical="center" wrapText="1"/>
    </xf>
    <xf numFmtId="0" fontId="32" fillId="6" borderId="1" xfId="0" applyFont="1" applyFill="1" applyBorder="1" applyAlignment="1">
      <alignment wrapText="1"/>
    </xf>
    <xf numFmtId="0" fontId="32" fillId="0" borderId="1" xfId="0" applyFont="1" applyBorder="1" applyAlignment="1">
      <alignment wrapText="1"/>
    </xf>
    <xf numFmtId="0" fontId="32" fillId="0" borderId="2" xfId="0" applyFont="1" applyBorder="1" applyAlignment="1">
      <alignment wrapText="1"/>
    </xf>
    <xf numFmtId="0" fontId="32" fillId="0" borderId="4" xfId="0" applyFont="1" applyBorder="1" applyAlignment="1">
      <alignment wrapText="1"/>
    </xf>
    <xf numFmtId="0" fontId="22" fillId="13" borderId="4" xfId="0" applyFont="1" applyFill="1" applyBorder="1" applyAlignment="1">
      <alignment horizontal="left" vertical="center" wrapText="1"/>
    </xf>
    <xf numFmtId="0" fontId="22" fillId="26" borderId="1" xfId="0" quotePrefix="1" applyFont="1" applyFill="1" applyBorder="1" applyAlignment="1">
      <alignment horizontal="left" vertical="center" wrapText="1"/>
    </xf>
    <xf numFmtId="0" fontId="32" fillId="6" borderId="4" xfId="0" applyFont="1" applyFill="1" applyBorder="1" applyAlignment="1">
      <alignment wrapText="1"/>
    </xf>
    <xf numFmtId="0" fontId="32" fillId="0" borderId="4" xfId="0" applyFont="1" applyBorder="1"/>
    <xf numFmtId="0" fontId="2" fillId="0" borderId="0" xfId="0" applyFont="1" applyAlignment="1">
      <alignment vertical="top"/>
    </xf>
    <xf numFmtId="14" fontId="22" fillId="14" borderId="4" xfId="0" applyNumberFormat="1" applyFont="1" applyFill="1" applyBorder="1" applyAlignment="1">
      <alignment horizontal="left" vertical="center" wrapText="1"/>
    </xf>
    <xf numFmtId="0" fontId="32" fillId="0" borderId="4" xfId="0" quotePrefix="1" applyFont="1" applyBorder="1" applyAlignment="1">
      <alignment horizontal="left" vertical="center" wrapText="1"/>
    </xf>
    <xf numFmtId="0" fontId="2" fillId="0" borderId="1" xfId="0" applyFont="1" applyBorder="1" applyAlignment="1">
      <alignment vertical="top"/>
    </xf>
    <xf numFmtId="0" fontId="32" fillId="4" borderId="1" xfId="0" applyFont="1" applyFill="1" applyBorder="1" applyAlignment="1">
      <alignment wrapText="1"/>
    </xf>
    <xf numFmtId="0" fontId="27" fillId="13" borderId="1" xfId="0" applyFont="1" applyFill="1" applyBorder="1" applyAlignment="1">
      <alignment horizontal="center" vertical="center" wrapText="1"/>
    </xf>
    <xf numFmtId="0" fontId="50" fillId="0" borderId="3" xfId="0" applyFont="1" applyBorder="1" applyAlignment="1">
      <alignment horizontal="center" vertical="center" wrapText="1"/>
    </xf>
    <xf numFmtId="14" fontId="50" fillId="0" borderId="3" xfId="0" applyNumberFormat="1" applyFont="1" applyBorder="1" applyAlignment="1">
      <alignment horizontal="center" vertical="center" wrapText="1"/>
    </xf>
    <xf numFmtId="0" fontId="50" fillId="0" borderId="3" xfId="0" applyFont="1" applyBorder="1" applyAlignment="1">
      <alignment horizontal="left" vertical="center" wrapText="1"/>
    </xf>
    <xf numFmtId="0" fontId="14" fillId="0" borderId="0" xfId="0" applyFont="1" applyAlignment="1">
      <alignment horizontal="center" vertical="center" wrapText="1"/>
    </xf>
    <xf numFmtId="0" fontId="18" fillId="0" borderId="0" xfId="0" applyFont="1" applyAlignment="1">
      <alignment horizontal="left" wrapText="1"/>
    </xf>
    <xf numFmtId="0" fontId="20" fillId="18" borderId="1" xfId="0" applyFont="1" applyFill="1" applyBorder="1" applyAlignment="1">
      <alignment horizontal="right" vertical="center" wrapText="1"/>
    </xf>
    <xf numFmtId="0" fontId="18" fillId="16" borderId="1" xfId="0" applyFont="1" applyFill="1" applyBorder="1" applyAlignment="1">
      <alignment horizontal="center" vertical="center" wrapText="1"/>
    </xf>
    <xf numFmtId="0" fontId="20" fillId="17" borderId="1" xfId="0" applyFont="1" applyFill="1" applyBorder="1" applyAlignment="1">
      <alignment horizontal="right" vertical="center" wrapText="1"/>
    </xf>
    <xf numFmtId="0" fontId="30" fillId="15" borderId="1" xfId="0" applyFont="1" applyFill="1" applyBorder="1" applyAlignment="1">
      <alignment horizontal="center" vertical="center" wrapText="1"/>
    </xf>
    <xf numFmtId="9" fontId="18" fillId="16" borderId="1" xfId="2" applyFont="1" applyFill="1" applyBorder="1" applyAlignment="1">
      <alignment horizontal="center" vertical="center" wrapText="1"/>
    </xf>
    <xf numFmtId="0" fontId="0" fillId="0" borderId="20" xfId="0" applyBorder="1"/>
    <xf numFmtId="49" fontId="0" fillId="0" borderId="0" xfId="0" applyNumberFormat="1"/>
    <xf numFmtId="49" fontId="52" fillId="0" borderId="15" xfId="0" applyNumberFormat="1" applyFont="1" applyBorder="1" applyAlignment="1">
      <alignment horizontal="center" vertical="top"/>
    </xf>
    <xf numFmtId="0" fontId="53" fillId="0" borderId="20" xfId="0" applyFont="1" applyBorder="1" applyAlignment="1">
      <alignment horizontal="center" vertical="center" wrapText="1"/>
    </xf>
    <xf numFmtId="0" fontId="1" fillId="0" borderId="0" xfId="0" applyFont="1"/>
    <xf numFmtId="0" fontId="54" fillId="29" borderId="24" xfId="0" applyFont="1" applyFill="1" applyBorder="1" applyAlignment="1">
      <alignment vertical="center" wrapText="1"/>
    </xf>
    <xf numFmtId="0" fontId="54" fillId="29" borderId="25" xfId="0" applyFont="1" applyFill="1" applyBorder="1" applyAlignment="1">
      <alignment horizontal="center" vertical="center" wrapText="1"/>
    </xf>
    <xf numFmtId="0" fontId="54" fillId="29" borderId="26" xfId="0" applyFont="1" applyFill="1" applyBorder="1" applyAlignment="1">
      <alignment vertical="center" wrapText="1"/>
    </xf>
    <xf numFmtId="9" fontId="54" fillId="29" borderId="28" xfId="2" applyFont="1" applyFill="1" applyBorder="1" applyAlignment="1">
      <alignment vertical="center" wrapText="1"/>
    </xf>
    <xf numFmtId="9" fontId="54" fillId="29" borderId="27" xfId="2" applyFont="1" applyFill="1" applyBorder="1" applyAlignment="1">
      <alignment vertical="center" wrapText="1"/>
    </xf>
    <xf numFmtId="0" fontId="54" fillId="0" borderId="24" xfId="0" applyFont="1" applyBorder="1" applyAlignment="1">
      <alignment vertical="center" wrapText="1"/>
    </xf>
    <xf numFmtId="0" fontId="54" fillId="0" borderId="29" xfId="0" applyFont="1" applyBorder="1" applyAlignment="1">
      <alignment vertical="center" wrapText="1"/>
    </xf>
    <xf numFmtId="9" fontId="54" fillId="0" borderId="31" xfId="2" applyFont="1" applyFill="1" applyBorder="1" applyAlignment="1">
      <alignment horizontal="center" vertical="center" wrapText="1"/>
    </xf>
    <xf numFmtId="2" fontId="54" fillId="0" borderId="30" xfId="2" applyNumberFormat="1" applyFont="1" applyFill="1" applyBorder="1" applyAlignment="1">
      <alignment horizontal="center" vertical="center" wrapText="1"/>
    </xf>
    <xf numFmtId="9" fontId="54" fillId="23" borderId="31" xfId="2" applyFont="1" applyFill="1" applyBorder="1" applyAlignment="1">
      <alignment horizontal="center" vertical="center" wrapText="1"/>
    </xf>
    <xf numFmtId="2" fontId="54" fillId="23" borderId="30" xfId="2" applyNumberFormat="1" applyFont="1" applyFill="1" applyBorder="1" applyAlignment="1">
      <alignment horizontal="center" vertical="center" wrapText="1"/>
    </xf>
    <xf numFmtId="0" fontId="54" fillId="0" borderId="0" xfId="0" applyFont="1" applyAlignment="1">
      <alignment vertical="center" wrapText="1"/>
    </xf>
    <xf numFmtId="9" fontId="54" fillId="0" borderId="0" xfId="2" applyFont="1" applyFill="1" applyBorder="1" applyAlignment="1">
      <alignment horizontal="center" vertical="center" wrapText="1"/>
    </xf>
    <xf numFmtId="0" fontId="54" fillId="29" borderId="32" xfId="0" applyFont="1" applyFill="1" applyBorder="1" applyAlignment="1">
      <alignment vertical="center" wrapText="1"/>
    </xf>
    <xf numFmtId="0" fontId="54" fillId="0" borderId="32" xfId="0" applyFont="1" applyBorder="1" applyAlignment="1">
      <alignment horizontal="left" vertical="center" wrapText="1"/>
    </xf>
    <xf numFmtId="2" fontId="54" fillId="0" borderId="30" xfId="0" applyNumberFormat="1" applyFont="1" applyBorder="1" applyAlignment="1">
      <alignment horizontal="left" vertical="center" wrapText="1"/>
    </xf>
    <xf numFmtId="0" fontId="55" fillId="6" borderId="19" xfId="0" applyFont="1" applyFill="1" applyBorder="1"/>
    <xf numFmtId="0" fontId="55" fillId="6" borderId="20" xfId="0" applyFont="1" applyFill="1" applyBorder="1"/>
    <xf numFmtId="9" fontId="55" fillId="6" borderId="20" xfId="2" applyFont="1" applyFill="1" applyBorder="1"/>
    <xf numFmtId="0" fontId="55" fillId="6" borderId="21" xfId="0" applyFont="1" applyFill="1" applyBorder="1"/>
    <xf numFmtId="0" fontId="17" fillId="0" borderId="0" xfId="0" applyFont="1" applyAlignment="1">
      <alignment horizontal="center" vertical="center" wrapText="1"/>
    </xf>
    <xf numFmtId="0" fontId="50" fillId="0" borderId="6" xfId="0" applyFont="1" applyBorder="1" applyAlignment="1">
      <alignment horizontal="center" vertical="center" wrapText="1"/>
    </xf>
    <xf numFmtId="14" fontId="50" fillId="0" borderId="6" xfId="0" applyNumberFormat="1" applyFont="1" applyBorder="1" applyAlignment="1">
      <alignment horizontal="center" vertical="center" wrapText="1"/>
    </xf>
    <xf numFmtId="9" fontId="13" fillId="0" borderId="1" xfId="2" applyFont="1" applyFill="1" applyBorder="1" applyAlignment="1">
      <alignment horizontal="center" vertical="center"/>
    </xf>
    <xf numFmtId="0" fontId="17" fillId="0" borderId="3" xfId="0" applyFont="1" applyBorder="1" applyAlignment="1">
      <alignment horizontal="center" vertical="center" wrapText="1"/>
    </xf>
    <xf numFmtId="9" fontId="13" fillId="0" borderId="2" xfId="2" applyFont="1" applyBorder="1" applyAlignment="1">
      <alignment horizontal="center" vertical="center"/>
    </xf>
    <xf numFmtId="9" fontId="54" fillId="0" borderId="31" xfId="2" applyFont="1" applyBorder="1" applyAlignment="1">
      <alignment horizontal="center" vertical="center" wrapText="1"/>
    </xf>
    <xf numFmtId="0" fontId="54" fillId="29" borderId="25" xfId="0" applyFont="1" applyFill="1" applyBorder="1" applyAlignment="1">
      <alignment vertical="center" wrapText="1"/>
    </xf>
    <xf numFmtId="0" fontId="59" fillId="0" borderId="29" xfId="0" applyFont="1" applyBorder="1" applyAlignment="1">
      <alignment vertical="center" wrapText="1"/>
    </xf>
    <xf numFmtId="0" fontId="54" fillId="0" borderId="30" xfId="0" applyFont="1" applyBorder="1" applyAlignment="1">
      <alignment vertical="center" wrapText="1"/>
    </xf>
    <xf numFmtId="0" fontId="60" fillId="15" borderId="0" xfId="0" applyFont="1" applyFill="1" applyAlignment="1">
      <alignment horizontal="center" vertical="center" wrapText="1"/>
    </xf>
    <xf numFmtId="0" fontId="13" fillId="0" borderId="0" xfId="0" applyFont="1" applyAlignment="1">
      <alignment wrapText="1"/>
    </xf>
    <xf numFmtId="0" fontId="58" fillId="0" borderId="0" xfId="0" applyFont="1" applyAlignment="1">
      <alignment wrapText="1"/>
    </xf>
    <xf numFmtId="0" fontId="58" fillId="18" borderId="1" xfId="0" applyFont="1" applyFill="1" applyBorder="1" applyAlignment="1">
      <alignment horizontal="right" vertical="center" wrapText="1"/>
    </xf>
    <xf numFmtId="0" fontId="58" fillId="16" borderId="1" xfId="0" applyFont="1" applyFill="1" applyBorder="1" applyAlignment="1">
      <alignment horizontal="center" vertical="center" wrapText="1"/>
    </xf>
    <xf numFmtId="0" fontId="58" fillId="17" borderId="1" xfId="0" applyFont="1" applyFill="1" applyBorder="1" applyAlignment="1">
      <alignment horizontal="right" vertical="center" wrapText="1"/>
    </xf>
    <xf numFmtId="0" fontId="61" fillId="15" borderId="1" xfId="0" applyFont="1" applyFill="1" applyBorder="1" applyAlignment="1">
      <alignment horizontal="center" vertical="center" wrapText="1"/>
    </xf>
    <xf numFmtId="0" fontId="58" fillId="2" borderId="1" xfId="0" applyFont="1" applyFill="1" applyBorder="1" applyAlignment="1">
      <alignment horizontal="right" vertical="center" wrapText="1"/>
    </xf>
    <xf numFmtId="0" fontId="60" fillId="15" borderId="11" xfId="0" applyFont="1" applyFill="1" applyBorder="1" applyAlignment="1">
      <alignment vertical="center" wrapText="1"/>
    </xf>
    <xf numFmtId="0" fontId="60" fillId="15" borderId="12" xfId="0" applyFont="1" applyFill="1" applyBorder="1" applyAlignment="1">
      <alignment vertical="center" wrapText="1"/>
    </xf>
    <xf numFmtId="0" fontId="50" fillId="7" borderId="3" xfId="0" applyFont="1" applyFill="1" applyBorder="1" applyAlignment="1">
      <alignment horizontal="center" vertical="center" wrapText="1"/>
    </xf>
    <xf numFmtId="0" fontId="19" fillId="15" borderId="0" xfId="0" applyFont="1" applyFill="1" applyAlignment="1">
      <alignment horizontal="center" wrapText="1"/>
    </xf>
    <xf numFmtId="0" fontId="50" fillId="0" borderId="3" xfId="0" quotePrefix="1" applyFont="1" applyBorder="1" applyAlignment="1">
      <alignment horizontal="center" vertical="center" wrapText="1"/>
    </xf>
    <xf numFmtId="0" fontId="18" fillId="16" borderId="0" xfId="0" applyFont="1" applyFill="1" applyAlignment="1">
      <alignment horizontal="center" vertical="center" wrapText="1"/>
    </xf>
    <xf numFmtId="9" fontId="18" fillId="16" borderId="0" xfId="2" applyFont="1" applyFill="1" applyBorder="1" applyAlignment="1">
      <alignment horizontal="center" vertical="center" wrapText="1"/>
    </xf>
    <xf numFmtId="0" fontId="50" fillId="32" borderId="3" xfId="0" applyFont="1" applyFill="1" applyBorder="1" applyAlignment="1">
      <alignment horizontal="center" vertical="center" wrapText="1"/>
    </xf>
    <xf numFmtId="14" fontId="50" fillId="0" borderId="3" xfId="0" applyNumberFormat="1" applyFont="1" applyBorder="1" applyAlignment="1">
      <alignment horizontal="left" vertical="center" wrapText="1"/>
    </xf>
    <xf numFmtId="0" fontId="50" fillId="0" borderId="6" xfId="0" applyFont="1" applyBorder="1" applyAlignment="1">
      <alignment horizontal="left" vertical="center" wrapText="1"/>
    </xf>
    <xf numFmtId="0" fontId="62" fillId="0" borderId="29" xfId="0" applyFont="1" applyBorder="1" applyAlignment="1">
      <alignment vertical="center" wrapText="1"/>
    </xf>
    <xf numFmtId="0" fontId="50" fillId="23" borderId="3" xfId="0" applyFont="1" applyFill="1" applyBorder="1" applyAlignment="1">
      <alignment horizontal="center" vertical="center" wrapText="1"/>
    </xf>
    <xf numFmtId="0" fontId="54" fillId="0" borderId="29" xfId="0" applyFont="1" applyBorder="1" applyAlignment="1">
      <alignment horizontal="left" vertical="center" wrapText="1"/>
    </xf>
    <xf numFmtId="0" fontId="59" fillId="0" borderId="29" xfId="0" applyFont="1" applyBorder="1" applyAlignment="1">
      <alignment horizontal="left" vertical="center" wrapText="1"/>
    </xf>
    <xf numFmtId="49" fontId="0" fillId="0" borderId="0" xfId="0" applyNumberFormat="1" applyAlignment="1">
      <alignment wrapText="1"/>
    </xf>
    <xf numFmtId="0" fontId="54" fillId="24" borderId="29" xfId="0" applyFont="1" applyFill="1" applyBorder="1" applyAlignment="1">
      <alignment horizontal="left" vertical="center" wrapText="1"/>
    </xf>
    <xf numFmtId="0" fontId="54" fillId="24" borderId="29" xfId="0" applyFont="1" applyFill="1" applyBorder="1" applyAlignment="1">
      <alignment vertical="center" wrapText="1"/>
    </xf>
    <xf numFmtId="9" fontId="54" fillId="24" borderId="31" xfId="2" applyFont="1" applyFill="1" applyBorder="1" applyAlignment="1">
      <alignment horizontal="center" vertical="center" wrapText="1"/>
    </xf>
    <xf numFmtId="2" fontId="54" fillId="24" borderId="30" xfId="2" applyNumberFormat="1" applyFont="1" applyFill="1" applyBorder="1" applyAlignment="1">
      <alignment horizontal="center" vertical="center" wrapText="1"/>
    </xf>
    <xf numFmtId="0" fontId="59" fillId="24" borderId="29" xfId="0" applyFont="1" applyFill="1" applyBorder="1" applyAlignment="1">
      <alignment vertical="center" wrapText="1"/>
    </xf>
    <xf numFmtId="0" fontId="54" fillId="24" borderId="0" xfId="0" applyFont="1" applyFill="1" applyAlignment="1">
      <alignment vertical="center" wrapText="1"/>
    </xf>
    <xf numFmtId="9" fontId="54" fillId="24" borderId="0" xfId="2" applyFont="1" applyFill="1" applyBorder="1" applyAlignment="1">
      <alignment horizontal="center" vertical="center" wrapText="1"/>
    </xf>
    <xf numFmtId="0" fontId="54" fillId="0" borderId="35" xfId="0" applyFont="1" applyBorder="1" applyAlignment="1">
      <alignment vertical="center"/>
    </xf>
    <xf numFmtId="0" fontId="54" fillId="0" borderId="24" xfId="0" quotePrefix="1" applyFont="1" applyBorder="1" applyAlignment="1">
      <alignment vertical="center" wrapText="1"/>
    </xf>
    <xf numFmtId="0" fontId="55" fillId="0" borderId="20" xfId="0" applyFont="1" applyBorder="1"/>
    <xf numFmtId="0" fontId="50" fillId="33" borderId="3" xfId="0" applyFont="1" applyFill="1" applyBorder="1" applyAlignment="1">
      <alignment horizontal="center" vertical="center" wrapText="1"/>
    </xf>
    <xf numFmtId="0" fontId="50" fillId="0" borderId="6" xfId="0" quotePrefix="1" applyFont="1" applyBorder="1" applyAlignment="1">
      <alignment horizontal="center" vertical="center" wrapText="1"/>
    </xf>
    <xf numFmtId="0" fontId="54" fillId="24" borderId="30" xfId="0" applyFont="1" applyFill="1" applyBorder="1" applyAlignment="1">
      <alignment horizontal="center" vertical="center" wrapText="1"/>
    </xf>
    <xf numFmtId="0" fontId="54" fillId="0" borderId="30" xfId="0" applyFont="1" applyBorder="1" applyAlignment="1">
      <alignment horizontal="center" vertical="center" wrapText="1"/>
    </xf>
    <xf numFmtId="0" fontId="54" fillId="0" borderId="30" xfId="0" applyFont="1" applyBorder="1" applyAlignment="1">
      <alignment horizontal="left" vertical="center" wrapText="1"/>
    </xf>
    <xf numFmtId="0" fontId="59" fillId="0" borderId="30" xfId="0" applyFont="1" applyBorder="1" applyAlignment="1">
      <alignment horizontal="left" vertical="center" wrapText="1"/>
    </xf>
    <xf numFmtId="0" fontId="51" fillId="0" borderId="0" xfId="0" applyFont="1" applyAlignment="1">
      <alignment horizontal="center" vertical="center"/>
    </xf>
    <xf numFmtId="0" fontId="52" fillId="0" borderId="0" xfId="0" applyFont="1" applyAlignment="1">
      <alignment horizontal="center" vertical="top"/>
    </xf>
    <xf numFmtId="0" fontId="53" fillId="0" borderId="0" xfId="0" applyFont="1" applyAlignment="1">
      <alignment horizontal="center" vertical="center"/>
    </xf>
    <xf numFmtId="0" fontId="54" fillId="0" borderId="0" xfId="0" applyFont="1" applyAlignment="1">
      <alignment horizontal="center" vertical="center" wrapText="1"/>
    </xf>
    <xf numFmtId="0" fontId="55" fillId="6" borderId="0" xfId="0" applyFont="1" applyFill="1"/>
    <xf numFmtId="0" fontId="12" fillId="7" borderId="4" xfId="0" applyFont="1" applyFill="1" applyBorder="1" applyAlignment="1">
      <alignment horizontal="center" vertical="center" wrapText="1"/>
    </xf>
    <xf numFmtId="0" fontId="12" fillId="0" borderId="4" xfId="0" applyFont="1" applyBorder="1" applyAlignment="1">
      <alignment horizontal="center" vertical="center" wrapText="1"/>
    </xf>
    <xf numFmtId="0" fontId="12" fillId="0" borderId="2" xfId="0" applyFont="1" applyBorder="1" applyAlignment="1">
      <alignment horizontal="center" vertical="center" wrapText="1"/>
    </xf>
    <xf numFmtId="0" fontId="0" fillId="34" borderId="0" xfId="0" applyFill="1"/>
    <xf numFmtId="0" fontId="65" fillId="35" borderId="37" xfId="0" applyFont="1" applyFill="1" applyBorder="1" applyAlignment="1">
      <alignment horizontal="center" vertical="center"/>
    </xf>
    <xf numFmtId="0" fontId="65" fillId="35" borderId="38" xfId="0" applyFont="1" applyFill="1" applyBorder="1" applyAlignment="1">
      <alignment horizontal="center" vertical="center"/>
    </xf>
    <xf numFmtId="0" fontId="65" fillId="35" borderId="39" xfId="0" applyFont="1" applyFill="1" applyBorder="1" applyAlignment="1">
      <alignment horizontal="center" vertical="center"/>
    </xf>
    <xf numFmtId="0" fontId="13" fillId="4" borderId="19" xfId="0" applyFont="1" applyFill="1" applyBorder="1" applyAlignment="1">
      <alignment horizontal="center" vertical="center" wrapText="1"/>
    </xf>
    <xf numFmtId="0" fontId="13" fillId="4" borderId="40" xfId="0" applyFont="1" applyFill="1" applyBorder="1" applyAlignment="1">
      <alignment horizontal="center" vertical="center" wrapText="1"/>
    </xf>
    <xf numFmtId="0" fontId="13" fillId="4" borderId="21" xfId="0" applyFont="1" applyFill="1" applyBorder="1" applyAlignment="1">
      <alignment horizontal="center" vertical="center" wrapText="1"/>
    </xf>
    <xf numFmtId="0" fontId="12" fillId="7" borderId="4" xfId="0" applyFont="1" applyFill="1" applyBorder="1" applyAlignment="1">
      <alignment vertical="center" wrapText="1"/>
    </xf>
    <xf numFmtId="0" fontId="34" fillId="34" borderId="0" xfId="0" applyFont="1" applyFill="1" applyAlignment="1">
      <alignment horizontal="left"/>
    </xf>
    <xf numFmtId="0" fontId="31" fillId="34" borderId="0" xfId="0" applyFont="1" applyFill="1" applyAlignment="1">
      <alignment horizontal="left"/>
    </xf>
    <xf numFmtId="0" fontId="31" fillId="34" borderId="0" xfId="0" applyFont="1" applyFill="1"/>
    <xf numFmtId="0" fontId="66" fillId="35" borderId="3" xfId="0" applyFont="1" applyFill="1" applyBorder="1" applyAlignment="1">
      <alignment horizontal="center" vertical="center" wrapText="1"/>
    </xf>
    <xf numFmtId="0" fontId="66" fillId="0" borderId="0" xfId="0" applyFont="1"/>
    <xf numFmtId="0" fontId="13" fillId="0" borderId="40" xfId="0" applyFont="1" applyBorder="1" applyAlignment="1">
      <alignment horizontal="center" vertical="center" wrapText="1"/>
    </xf>
    <xf numFmtId="0" fontId="64" fillId="35" borderId="8" xfId="0" applyFont="1" applyFill="1" applyBorder="1" applyAlignment="1">
      <alignment horizontal="center" vertical="center" wrapText="1"/>
    </xf>
    <xf numFmtId="0" fontId="31" fillId="35" borderId="7" xfId="0" applyFont="1" applyFill="1" applyBorder="1" applyAlignment="1">
      <alignment horizontal="center" vertical="center" wrapText="1"/>
    </xf>
    <xf numFmtId="0" fontId="67" fillId="2" borderId="3" xfId="0" applyFont="1" applyFill="1" applyBorder="1" applyAlignment="1">
      <alignment horizontal="center" vertical="center" wrapText="1"/>
    </xf>
    <xf numFmtId="2" fontId="64" fillId="35" borderId="8" xfId="0" applyNumberFormat="1" applyFont="1" applyFill="1" applyBorder="1" applyAlignment="1">
      <alignment horizontal="center" vertical="center" wrapText="1"/>
    </xf>
    <xf numFmtId="14" fontId="13" fillId="4" borderId="40" xfId="0" applyNumberFormat="1" applyFont="1" applyFill="1" applyBorder="1" applyAlignment="1">
      <alignment horizontal="center" vertical="center" wrapText="1"/>
    </xf>
    <xf numFmtId="0" fontId="13" fillId="0" borderId="19" xfId="0" applyFont="1" applyBorder="1" applyAlignment="1">
      <alignment horizontal="center" vertical="center" wrapText="1"/>
    </xf>
    <xf numFmtId="0" fontId="50" fillId="0" borderId="36" xfId="0" applyFont="1" applyBorder="1" applyAlignment="1">
      <alignment horizontal="center" vertical="center" wrapText="1"/>
    </xf>
    <xf numFmtId="0" fontId="0" fillId="34" borderId="14" xfId="0" applyFill="1" applyBorder="1"/>
    <xf numFmtId="0" fontId="0" fillId="34" borderId="15" xfId="0" applyFill="1" applyBorder="1"/>
    <xf numFmtId="0" fontId="0" fillId="34" borderId="16" xfId="0" applyFill="1" applyBorder="1"/>
    <xf numFmtId="0" fontId="0" fillId="34" borderId="17" xfId="0" applyFill="1" applyBorder="1"/>
    <xf numFmtId="0" fontId="0" fillId="34" borderId="18" xfId="0" applyFill="1" applyBorder="1"/>
    <xf numFmtId="14" fontId="13" fillId="0" borderId="40" xfId="0" applyNumberFormat="1" applyFont="1" applyBorder="1" applyAlignment="1">
      <alignment horizontal="center" vertical="center" wrapText="1"/>
    </xf>
    <xf numFmtId="0" fontId="50" fillId="0" borderId="41" xfId="0" applyFont="1" applyBorder="1" applyAlignment="1">
      <alignment horizontal="center" vertical="center" wrapText="1"/>
    </xf>
    <xf numFmtId="14" fontId="50" fillId="0" borderId="42" xfId="0" applyNumberFormat="1" applyFont="1" applyBorder="1" applyAlignment="1">
      <alignment horizontal="center" vertical="center" wrapText="1"/>
    </xf>
    <xf numFmtId="0" fontId="69" fillId="0" borderId="1" xfId="0" applyFont="1" applyBorder="1" applyAlignment="1">
      <alignment horizontal="center" vertical="center" wrapText="1"/>
    </xf>
    <xf numFmtId="0" fontId="65" fillId="35" borderId="32" xfId="0" applyFont="1" applyFill="1" applyBorder="1" applyAlignment="1">
      <alignment horizontal="center" vertical="center"/>
    </xf>
    <xf numFmtId="0" fontId="65" fillId="35" borderId="22" xfId="0" applyFont="1" applyFill="1" applyBorder="1" applyAlignment="1">
      <alignment horizontal="center" vertical="center"/>
    </xf>
    <xf numFmtId="0" fontId="68" fillId="18" borderId="38" xfId="0" applyFont="1" applyFill="1" applyBorder="1" applyAlignment="1">
      <alignment horizontal="center" vertical="center" wrapText="1"/>
    </xf>
    <xf numFmtId="0" fontId="68" fillId="17" borderId="43" xfId="0" applyFont="1" applyFill="1" applyBorder="1" applyAlignment="1">
      <alignment horizontal="center" vertical="center" wrapText="1"/>
    </xf>
    <xf numFmtId="0" fontId="66" fillId="35" borderId="44" xfId="0" applyFont="1" applyFill="1" applyBorder="1" applyAlignment="1">
      <alignment horizontal="center" vertical="center"/>
    </xf>
    <xf numFmtId="0" fontId="18" fillId="16" borderId="38" xfId="0" applyFont="1" applyFill="1" applyBorder="1" applyAlignment="1">
      <alignment horizontal="center" vertical="center" wrapText="1"/>
    </xf>
    <xf numFmtId="0" fontId="18" fillId="16" borderId="43" xfId="0" applyFont="1" applyFill="1" applyBorder="1" applyAlignment="1">
      <alignment horizontal="center" vertical="center" wrapText="1"/>
    </xf>
    <xf numFmtId="0" fontId="18" fillId="16" borderId="45" xfId="0" applyFont="1" applyFill="1" applyBorder="1" applyAlignment="1">
      <alignment horizontal="center" vertical="center" wrapText="1"/>
    </xf>
    <xf numFmtId="0" fontId="66" fillId="35" borderId="46" xfId="0" applyFont="1" applyFill="1" applyBorder="1" applyAlignment="1">
      <alignment horizontal="center" vertical="center"/>
    </xf>
    <xf numFmtId="0" fontId="66" fillId="35" borderId="47" xfId="0" applyFont="1" applyFill="1" applyBorder="1" applyAlignment="1">
      <alignment horizontal="center" vertical="center"/>
    </xf>
    <xf numFmtId="0" fontId="66" fillId="35" borderId="48" xfId="0" applyFont="1" applyFill="1" applyBorder="1" applyAlignment="1">
      <alignment horizontal="center" vertical="center"/>
    </xf>
    <xf numFmtId="0" fontId="66" fillId="35" borderId="49" xfId="0" applyFont="1" applyFill="1" applyBorder="1" applyAlignment="1">
      <alignment horizontal="center" vertical="center"/>
    </xf>
    <xf numFmtId="0" fontId="66" fillId="35" borderId="50" xfId="0" applyFont="1" applyFill="1" applyBorder="1" applyAlignment="1">
      <alignment horizontal="center" vertical="center"/>
    </xf>
    <xf numFmtId="0" fontId="71" fillId="7" borderId="3" xfId="0" applyFont="1" applyFill="1" applyBorder="1" applyAlignment="1">
      <alignment horizontal="center" vertical="center" wrapText="1"/>
    </xf>
    <xf numFmtId="0" fontId="71" fillId="0" borderId="3" xfId="0" applyFont="1" applyBorder="1" applyAlignment="1">
      <alignment horizontal="center" vertical="center" wrapText="1"/>
    </xf>
    <xf numFmtId="0" fontId="71" fillId="0" borderId="6" xfId="0" applyFont="1" applyBorder="1" applyAlignment="1">
      <alignment horizontal="center" vertical="center" wrapText="1"/>
    </xf>
    <xf numFmtId="0" fontId="65" fillId="35" borderId="39" xfId="0" applyFont="1" applyFill="1" applyBorder="1" applyAlignment="1">
      <alignment horizontal="center" vertical="center" wrapText="1"/>
    </xf>
    <xf numFmtId="0" fontId="73" fillId="7" borderId="3" xfId="0" applyFont="1" applyFill="1" applyBorder="1" applyAlignment="1">
      <alignment horizontal="center" vertical="center" wrapText="1"/>
    </xf>
    <xf numFmtId="0" fontId="74" fillId="0" borderId="3" xfId="0" applyFont="1" applyBorder="1" applyAlignment="1">
      <alignment horizontal="center" vertical="center" wrapText="1"/>
    </xf>
    <xf numFmtId="0" fontId="74" fillId="7" borderId="3" xfId="0" applyFont="1" applyFill="1" applyBorder="1" applyAlignment="1">
      <alignment horizontal="center" vertical="center" wrapText="1"/>
    </xf>
    <xf numFmtId="0" fontId="76" fillId="7" borderId="3"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72" fillId="0" borderId="0" xfId="0" applyFont="1" applyAlignment="1">
      <alignment vertical="center" wrapText="1"/>
    </xf>
    <xf numFmtId="0" fontId="72" fillId="0" borderId="3" xfId="0" applyFont="1" applyBorder="1" applyAlignment="1">
      <alignment horizontal="center" vertical="center" wrapText="1"/>
    </xf>
    <xf numFmtId="0" fontId="82" fillId="0" borderId="41" xfId="0" applyFont="1" applyBorder="1" applyAlignment="1">
      <alignment horizontal="center" vertical="center" wrapText="1"/>
    </xf>
    <xf numFmtId="14" fontId="82" fillId="0" borderId="42" xfId="0" applyNumberFormat="1" applyFont="1" applyBorder="1" applyAlignment="1">
      <alignment horizontal="center" vertical="center" wrapText="1"/>
    </xf>
    <xf numFmtId="14" fontId="82" fillId="0" borderId="42" xfId="0" applyNumberFormat="1" applyFont="1" applyBorder="1" applyAlignment="1">
      <alignment horizontal="left" vertical="center" wrapText="1"/>
    </xf>
    <xf numFmtId="0" fontId="82" fillId="0" borderId="3" xfId="0" applyFont="1" applyBorder="1" applyAlignment="1">
      <alignment horizontal="left" vertical="center" wrapText="1"/>
    </xf>
    <xf numFmtId="0" fontId="82" fillId="0" borderId="3" xfId="0" applyFont="1" applyBorder="1" applyAlignment="1">
      <alignment horizontal="center" vertical="center" wrapText="1"/>
    </xf>
    <xf numFmtId="14" fontId="82" fillId="0" borderId="6" xfId="0" applyNumberFormat="1" applyFont="1" applyBorder="1" applyAlignment="1">
      <alignment horizontal="center" vertical="center" wrapText="1"/>
    </xf>
    <xf numFmtId="14" fontId="82" fillId="0" borderId="53" xfId="0" quotePrefix="1" applyNumberFormat="1" applyFont="1" applyBorder="1" applyAlignment="1">
      <alignment horizontal="center" vertical="center" wrapText="1"/>
    </xf>
    <xf numFmtId="0" fontId="82" fillId="0" borderId="6" xfId="0" applyFont="1" applyBorder="1" applyAlignment="1">
      <alignment horizontal="left" vertical="center" wrapText="1"/>
    </xf>
    <xf numFmtId="0" fontId="82" fillId="0" borderId="6" xfId="0" applyFont="1" applyBorder="1" applyAlignment="1">
      <alignment horizontal="center" vertical="center" wrapText="1"/>
    </xf>
    <xf numFmtId="14" fontId="82" fillId="0" borderId="53" xfId="0" applyNumberFormat="1" applyFont="1" applyBorder="1" applyAlignment="1">
      <alignment horizontal="center" vertical="center" wrapText="1"/>
    </xf>
    <xf numFmtId="0" fontId="69" fillId="0" borderId="3" xfId="0" applyFont="1" applyBorder="1" applyAlignment="1">
      <alignment horizontal="center" vertical="center" wrapText="1"/>
    </xf>
    <xf numFmtId="0" fontId="50" fillId="0" borderId="1" xfId="0" applyFont="1" applyBorder="1" applyAlignment="1">
      <alignment horizontal="center" vertical="center" wrapText="1"/>
    </xf>
    <xf numFmtId="0" fontId="72" fillId="0" borderId="3" xfId="0" applyFont="1" applyBorder="1" applyAlignment="1">
      <alignment vertical="center" wrapText="1"/>
    </xf>
    <xf numFmtId="0" fontId="71" fillId="7" borderId="0" xfId="0" applyFont="1" applyFill="1" applyAlignment="1">
      <alignment horizontal="center" vertical="center" wrapText="1"/>
    </xf>
    <xf numFmtId="0" fontId="72" fillId="0" borderId="6" xfId="0" applyFont="1" applyBorder="1" applyAlignment="1">
      <alignment vertical="center" wrapText="1"/>
    </xf>
    <xf numFmtId="0" fontId="50" fillId="0" borderId="0" xfId="0" applyFont="1" applyAlignment="1">
      <alignment horizontal="center" vertical="center" wrapText="1"/>
    </xf>
    <xf numFmtId="0" fontId="50" fillId="7" borderId="6" xfId="0" applyFont="1" applyFill="1" applyBorder="1" applyAlignment="1">
      <alignment horizontal="center" vertical="center" wrapText="1"/>
    </xf>
    <xf numFmtId="0" fontId="71" fillId="7" borderId="6" xfId="0" applyFont="1" applyFill="1" applyBorder="1" applyAlignment="1">
      <alignment horizontal="center" vertical="center" wrapText="1"/>
    </xf>
    <xf numFmtId="0" fontId="50" fillId="7" borderId="36" xfId="0" applyFont="1" applyFill="1" applyBorder="1" applyAlignment="1">
      <alignment horizontal="center" vertical="center" wrapText="1"/>
    </xf>
    <xf numFmtId="14" fontId="82" fillId="0" borderId="42" xfId="0" quotePrefix="1" applyNumberFormat="1" applyFont="1" applyBorder="1" applyAlignment="1">
      <alignment horizontal="center" vertical="center" wrapText="1"/>
    </xf>
    <xf numFmtId="0" fontId="82" fillId="0" borderId="42" xfId="0" applyFont="1" applyBorder="1" applyAlignment="1">
      <alignment horizontal="left" vertical="center" wrapText="1"/>
    </xf>
    <xf numFmtId="0" fontId="82" fillId="34" borderId="0" xfId="0" applyFont="1" applyFill="1"/>
    <xf numFmtId="0" fontId="66" fillId="35" borderId="54" xfId="0" applyFont="1" applyFill="1" applyBorder="1" applyAlignment="1">
      <alignment horizontal="center" vertical="center"/>
    </xf>
    <xf numFmtId="0" fontId="66" fillId="35" borderId="6" xfId="0" applyFont="1" applyFill="1" applyBorder="1" applyAlignment="1">
      <alignment horizontal="center" vertical="center"/>
    </xf>
    <xf numFmtId="0" fontId="82" fillId="0" borderId="0" xfId="0" applyFont="1" applyAlignment="1">
      <alignment horizontal="left" vertical="center" wrapText="1"/>
    </xf>
    <xf numFmtId="14" fontId="17" fillId="0" borderId="0" xfId="0" applyNumberFormat="1" applyFont="1" applyAlignment="1">
      <alignment wrapText="1"/>
    </xf>
    <xf numFmtId="0" fontId="0" fillId="34" borderId="0" xfId="0" applyFill="1" applyAlignment="1">
      <alignment vertical="top"/>
    </xf>
    <xf numFmtId="0" fontId="65" fillId="35" borderId="38" xfId="0" applyFont="1" applyFill="1" applyBorder="1" applyAlignment="1">
      <alignment horizontal="center" vertical="top"/>
    </xf>
    <xf numFmtId="0" fontId="13" fillId="0" borderId="40" xfId="0" applyFont="1" applyBorder="1" applyAlignment="1">
      <alignment horizontal="center" vertical="top" wrapText="1"/>
    </xf>
    <xf numFmtId="0" fontId="13" fillId="0" borderId="1" xfId="0" applyFont="1" applyBorder="1" applyAlignment="1">
      <alignment horizontal="center" vertical="top"/>
    </xf>
    <xf numFmtId="9" fontId="13" fillId="0" borderId="1" xfId="2" applyFont="1" applyBorder="1" applyAlignment="1">
      <alignment horizontal="center" vertical="top"/>
    </xf>
    <xf numFmtId="0" fontId="66" fillId="35" borderId="3" xfId="0" applyFont="1" applyFill="1" applyBorder="1" applyAlignment="1">
      <alignment horizontal="center" vertical="top" wrapText="1"/>
    </xf>
    <xf numFmtId="0" fontId="0" fillId="0" borderId="0" xfId="0" applyAlignment="1">
      <alignment horizontal="left" vertical="top"/>
    </xf>
    <xf numFmtId="14" fontId="82" fillId="0" borderId="6" xfId="0" applyNumberFormat="1" applyFont="1" applyBorder="1" applyAlignment="1">
      <alignment horizontal="left" vertical="center" wrapText="1"/>
    </xf>
    <xf numFmtId="0" fontId="0" fillId="0" borderId="2" xfId="0" applyBorder="1" applyProtection="1">
      <protection locked="0"/>
    </xf>
    <xf numFmtId="12" fontId="11" fillId="0" borderId="1" xfId="0" applyNumberFormat="1" applyFont="1" applyBorder="1" applyAlignment="1" applyProtection="1">
      <alignment horizontal="center" vertical="center" wrapText="1"/>
      <protection locked="0"/>
    </xf>
    <xf numFmtId="0" fontId="5" fillId="0" borderId="2" xfId="0" applyFont="1" applyBorder="1" applyAlignment="1" applyProtection="1">
      <alignment horizontal="left" vertical="center" wrapText="1"/>
      <protection locked="0"/>
    </xf>
    <xf numFmtId="0" fontId="11" fillId="0" borderId="2" xfId="0" applyFont="1" applyBorder="1" applyAlignment="1" applyProtection="1">
      <alignment horizontal="left" vertical="center"/>
      <protection locked="0"/>
    </xf>
    <xf numFmtId="0" fontId="11" fillId="0" borderId="2" xfId="0" applyFont="1" applyBorder="1" applyAlignment="1" applyProtection="1">
      <alignment horizontal="center" vertical="center" wrapText="1"/>
      <protection locked="0"/>
    </xf>
    <xf numFmtId="0" fontId="14" fillId="0" borderId="2"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1" xfId="0" applyFont="1" applyBorder="1" applyAlignment="1" applyProtection="1">
      <alignment horizontal="center" vertical="center" wrapText="1"/>
      <protection locked="0"/>
    </xf>
    <xf numFmtId="14" fontId="11" fillId="0" borderId="1" xfId="0" applyNumberFormat="1" applyFont="1" applyBorder="1" applyAlignment="1" applyProtection="1">
      <alignment horizontal="center" vertical="center" wrapText="1"/>
      <protection locked="0"/>
    </xf>
    <xf numFmtId="14" fontId="11" fillId="24" borderId="1" xfId="0" applyNumberFormat="1" applyFont="1" applyFill="1" applyBorder="1" applyAlignment="1" applyProtection="1">
      <alignment horizontal="left" vertical="top" wrapText="1"/>
      <protection locked="0"/>
    </xf>
    <xf numFmtId="0" fontId="11" fillId="0" borderId="1" xfId="0" applyFont="1" applyBorder="1" applyAlignment="1" applyProtection="1">
      <alignment horizontal="left" vertical="center" wrapText="1"/>
      <protection locked="0"/>
    </xf>
    <xf numFmtId="0" fontId="0" fillId="0" borderId="0" xfId="0" applyProtection="1">
      <protection locked="0"/>
    </xf>
    <xf numFmtId="0" fontId="11" fillId="0" borderId="1" xfId="0" applyFont="1" applyBorder="1" applyAlignment="1" applyProtection="1">
      <alignment horizontal="center" vertical="center"/>
      <protection locked="0"/>
    </xf>
    <xf numFmtId="2" fontId="0" fillId="0" borderId="0" xfId="0" applyNumberFormat="1" applyProtection="1">
      <protection locked="0"/>
    </xf>
    <xf numFmtId="14" fontId="11" fillId="2" borderId="1" xfId="0" applyNumberFormat="1" applyFont="1" applyFill="1" applyBorder="1" applyAlignment="1" applyProtection="1">
      <alignment horizontal="left" vertical="top" wrapText="1"/>
      <protection locked="0"/>
    </xf>
    <xf numFmtId="0" fontId="56" fillId="0" borderId="2" xfId="0" applyFont="1" applyBorder="1" applyAlignment="1" applyProtection="1">
      <alignment horizontal="left" vertical="center" wrapText="1"/>
      <protection locked="0"/>
    </xf>
    <xf numFmtId="0" fontId="11" fillId="0" borderId="2" xfId="0" applyFont="1" applyBorder="1" applyAlignment="1" applyProtection="1">
      <alignment horizontal="left" vertical="center" wrapText="1"/>
      <protection locked="0"/>
    </xf>
    <xf numFmtId="14" fontId="11" fillId="0" borderId="1" xfId="0" applyNumberFormat="1" applyFont="1" applyBorder="1" applyAlignment="1" applyProtection="1">
      <alignment horizontal="left" vertical="top" wrapText="1"/>
      <protection locked="0"/>
    </xf>
    <xf numFmtId="12" fontId="11" fillId="36" borderId="1" xfId="0" applyNumberFormat="1" applyFont="1" applyFill="1" applyBorder="1" applyAlignment="1" applyProtection="1">
      <alignment horizontal="center" vertical="center" wrapText="1"/>
      <protection locked="0"/>
    </xf>
    <xf numFmtId="14" fontId="40" fillId="2" borderId="1" xfId="0" applyNumberFormat="1" applyFont="1" applyFill="1" applyBorder="1" applyAlignment="1" applyProtection="1">
      <alignment horizontal="left" vertical="top" wrapText="1"/>
      <protection locked="0"/>
    </xf>
    <xf numFmtId="12" fontId="5" fillId="36" borderId="1" xfId="0" applyNumberFormat="1" applyFont="1" applyFill="1" applyBorder="1" applyAlignment="1" applyProtection="1">
      <alignment horizontal="center" vertical="center" wrapText="1"/>
      <protection locked="0"/>
    </xf>
    <xf numFmtId="0" fontId="37" fillId="0" borderId="2" xfId="0" applyFont="1" applyBorder="1" applyAlignment="1" applyProtection="1">
      <alignment horizontal="left" vertical="center" wrapText="1"/>
      <protection locked="0"/>
    </xf>
    <xf numFmtId="14" fontId="40" fillId="6" borderId="1" xfId="0" applyNumberFormat="1" applyFont="1" applyFill="1" applyBorder="1" applyAlignment="1" applyProtection="1">
      <alignment horizontal="left" vertical="top" wrapText="1"/>
      <protection locked="0"/>
    </xf>
    <xf numFmtId="14" fontId="40" fillId="0" borderId="1" xfId="0" applyNumberFormat="1" applyFont="1" applyBorder="1" applyAlignment="1" applyProtection="1">
      <alignment horizontal="left" vertical="top" wrapText="1"/>
      <protection locked="0"/>
    </xf>
    <xf numFmtId="0" fontId="23" fillId="0" borderId="2" xfId="0" applyFont="1" applyBorder="1" applyAlignment="1" applyProtection="1">
      <alignment horizontal="center" vertical="center" wrapText="1"/>
      <protection locked="0"/>
    </xf>
    <xf numFmtId="0" fontId="23" fillId="24" borderId="2" xfId="0" applyFont="1" applyFill="1" applyBorder="1" applyAlignment="1" applyProtection="1">
      <alignment horizontal="center" vertical="center" wrapText="1"/>
      <protection locked="0"/>
    </xf>
    <xf numFmtId="0" fontId="17" fillId="0" borderId="0" xfId="0" applyFont="1" applyProtection="1">
      <protection locked="0"/>
    </xf>
    <xf numFmtId="12" fontId="11" fillId="0" borderId="1" xfId="0" quotePrefix="1" applyNumberFormat="1" applyFont="1" applyBorder="1" applyAlignment="1" applyProtection="1">
      <alignment horizontal="center" vertical="center" wrapText="1"/>
      <protection locked="0"/>
    </xf>
    <xf numFmtId="0" fontId="11" fillId="0" borderId="2" xfId="0" quotePrefix="1" applyFont="1" applyBorder="1" applyAlignment="1" applyProtection="1">
      <alignment horizontal="left" vertical="center"/>
      <protection locked="0"/>
    </xf>
    <xf numFmtId="0" fontId="17" fillId="0" borderId="2" xfId="0" applyFont="1" applyBorder="1" applyProtection="1">
      <protection locked="0"/>
    </xf>
    <xf numFmtId="12" fontId="37" fillId="0" borderId="1" xfId="0" applyNumberFormat="1" applyFont="1" applyBorder="1" applyAlignment="1" applyProtection="1">
      <alignment horizontal="center" vertical="center" wrapText="1"/>
      <protection locked="0"/>
    </xf>
    <xf numFmtId="0" fontId="37" fillId="0" borderId="2" xfId="0" applyFont="1" applyBorder="1" applyAlignment="1" applyProtection="1">
      <alignment horizontal="left" vertical="center"/>
      <protection locked="0"/>
    </xf>
    <xf numFmtId="0" fontId="37" fillId="0" borderId="2" xfId="0" applyFont="1" applyBorder="1" applyAlignment="1" applyProtection="1">
      <alignment horizontal="center" vertical="center" wrapText="1"/>
      <protection locked="0"/>
    </xf>
    <xf numFmtId="0" fontId="17" fillId="0" borderId="2" xfId="0" applyFont="1" applyBorder="1" applyAlignment="1" applyProtection="1">
      <alignment horizontal="center" vertical="center"/>
      <protection locked="0"/>
    </xf>
    <xf numFmtId="0" fontId="37" fillId="0" borderId="2" xfId="0" applyFont="1" applyBorder="1" applyAlignment="1" applyProtection="1">
      <alignment horizontal="center" vertical="center"/>
      <protection locked="0"/>
    </xf>
    <xf numFmtId="0" fontId="37" fillId="0" borderId="1" xfId="0" applyFont="1" applyBorder="1" applyAlignment="1" applyProtection="1">
      <alignment horizontal="center" vertical="center" wrapText="1"/>
      <protection locked="0"/>
    </xf>
    <xf numFmtId="14" fontId="37" fillId="0" borderId="1" xfId="0" applyNumberFormat="1" applyFont="1" applyBorder="1" applyAlignment="1" applyProtection="1">
      <alignment horizontal="center" vertical="center" wrapText="1"/>
      <protection locked="0"/>
    </xf>
    <xf numFmtId="0" fontId="37" fillId="0" borderId="1" xfId="0" applyFont="1" applyBorder="1" applyAlignment="1" applyProtection="1">
      <alignment horizontal="left" vertical="center" wrapText="1"/>
      <protection locked="0"/>
    </xf>
    <xf numFmtId="0" fontId="37" fillId="0" borderId="1" xfId="0" applyFont="1" applyBorder="1" applyAlignment="1" applyProtection="1">
      <alignment horizontal="center" vertical="center"/>
      <protection locked="0"/>
    </xf>
    <xf numFmtId="2" fontId="17" fillId="0" borderId="0" xfId="0" applyNumberFormat="1" applyFont="1" applyProtection="1">
      <protection locked="0"/>
    </xf>
    <xf numFmtId="0" fontId="0" fillId="24" borderId="0" xfId="0" applyFill="1" applyProtection="1">
      <protection locked="0"/>
    </xf>
    <xf numFmtId="14" fontId="11" fillId="6" borderId="1" xfId="0" applyNumberFormat="1" applyFont="1" applyFill="1" applyBorder="1" applyAlignment="1" applyProtection="1">
      <alignment horizontal="left" vertical="top" wrapText="1"/>
      <protection locked="0"/>
    </xf>
    <xf numFmtId="0" fontId="11" fillId="27" borderId="1" xfId="0" applyFont="1" applyFill="1" applyBorder="1" applyAlignment="1" applyProtection="1">
      <alignment horizontal="center" vertical="center" wrapText="1"/>
      <protection locked="0"/>
    </xf>
    <xf numFmtId="12" fontId="11" fillId="36" borderId="1" xfId="0" quotePrefix="1" applyNumberFormat="1" applyFont="1" applyFill="1" applyBorder="1" applyAlignment="1" applyProtection="1">
      <alignment horizontal="center" vertical="center" wrapText="1"/>
      <protection locked="0"/>
    </xf>
    <xf numFmtId="0" fontId="0" fillId="24" borderId="2" xfId="0" applyFill="1" applyBorder="1" applyProtection="1">
      <protection locked="0"/>
    </xf>
    <xf numFmtId="12" fontId="11" fillId="24" borderId="1" xfId="0" quotePrefix="1" applyNumberFormat="1" applyFont="1" applyFill="1" applyBorder="1" applyAlignment="1" applyProtection="1">
      <alignment horizontal="center" vertical="center" wrapText="1"/>
      <protection locked="0"/>
    </xf>
    <xf numFmtId="0" fontId="5" fillId="24" borderId="2" xfId="0" applyFont="1" applyFill="1" applyBorder="1" applyAlignment="1" applyProtection="1">
      <alignment horizontal="left" vertical="center" wrapText="1"/>
      <protection locked="0"/>
    </xf>
    <xf numFmtId="0" fontId="11" fillId="24" borderId="2" xfId="0" applyFont="1" applyFill="1" applyBorder="1" applyAlignment="1" applyProtection="1">
      <alignment horizontal="left" vertical="center"/>
      <protection locked="0"/>
    </xf>
    <xf numFmtId="0" fontId="11" fillId="24" borderId="2" xfId="0" applyFont="1" applyFill="1" applyBorder="1" applyAlignment="1" applyProtection="1">
      <alignment horizontal="center" vertical="center" wrapText="1"/>
      <protection locked="0"/>
    </xf>
    <xf numFmtId="0" fontId="14" fillId="24" borderId="2" xfId="0" applyFont="1" applyFill="1" applyBorder="1" applyAlignment="1" applyProtection="1">
      <alignment horizontal="center" vertical="center"/>
      <protection locked="0"/>
    </xf>
    <xf numFmtId="0" fontId="11" fillId="24" borderId="2" xfId="0" applyFont="1" applyFill="1" applyBorder="1" applyAlignment="1" applyProtection="1">
      <alignment horizontal="center" vertical="center"/>
      <protection locked="0"/>
    </xf>
    <xf numFmtId="0" fontId="11" fillId="24" borderId="1" xfId="0" applyFont="1" applyFill="1" applyBorder="1" applyAlignment="1" applyProtection="1">
      <alignment horizontal="center" vertical="center" wrapText="1"/>
      <protection locked="0"/>
    </xf>
    <xf numFmtId="14" fontId="11" fillId="24" borderId="1" xfId="0" applyNumberFormat="1" applyFont="1" applyFill="1" applyBorder="1" applyAlignment="1" applyProtection="1">
      <alignment horizontal="center" vertical="center" wrapText="1"/>
      <protection locked="0"/>
    </xf>
    <xf numFmtId="0" fontId="11" fillId="24" borderId="1" xfId="0" applyFont="1" applyFill="1" applyBorder="1" applyAlignment="1" applyProtection="1">
      <alignment horizontal="left" vertical="center" wrapText="1"/>
      <protection locked="0"/>
    </xf>
    <xf numFmtId="0" fontId="11" fillId="24" borderId="1" xfId="0" applyFont="1" applyFill="1" applyBorder="1" applyAlignment="1" applyProtection="1">
      <alignment horizontal="center" vertical="center"/>
      <protection locked="0"/>
    </xf>
    <xf numFmtId="2" fontId="0" fillId="24" borderId="0" xfId="0" applyNumberFormat="1" applyFill="1" applyProtection="1">
      <protection locked="0"/>
    </xf>
    <xf numFmtId="14" fontId="11" fillId="0" borderId="0" xfId="0" applyNumberFormat="1" applyFont="1" applyAlignment="1" applyProtection="1">
      <alignment horizontal="left" vertical="top" wrapText="1"/>
      <protection locked="0"/>
    </xf>
    <xf numFmtId="0" fontId="11" fillId="0" borderId="0" xfId="0" applyFont="1" applyAlignment="1" applyProtection="1">
      <alignment horizontal="center" vertical="center"/>
      <protection locked="0"/>
    </xf>
    <xf numFmtId="0" fontId="0" fillId="0" borderId="1" xfId="0" applyBorder="1" applyProtection="1">
      <protection locked="0"/>
    </xf>
    <xf numFmtId="0" fontId="11" fillId="28" borderId="1" xfId="0" applyFont="1" applyFill="1" applyBorder="1" applyAlignment="1" applyProtection="1">
      <alignment horizontal="center" vertical="center" wrapText="1"/>
      <protection locked="0"/>
    </xf>
    <xf numFmtId="14" fontId="11" fillId="22" borderId="1" xfId="0" applyNumberFormat="1" applyFont="1" applyFill="1" applyBorder="1" applyAlignment="1" applyProtection="1">
      <alignment horizontal="left" vertical="top" wrapText="1"/>
      <protection locked="0"/>
    </xf>
    <xf numFmtId="12" fontId="11" fillId="0" borderId="2" xfId="0" applyNumberFormat="1" applyFont="1" applyBorder="1" applyAlignment="1" applyProtection="1">
      <alignment horizontal="center" vertical="center" wrapText="1"/>
      <protection locked="0"/>
    </xf>
    <xf numFmtId="14" fontId="49" fillId="4" borderId="1" xfId="0" applyNumberFormat="1" applyFont="1" applyFill="1" applyBorder="1" applyAlignment="1" applyProtection="1">
      <alignment horizontal="left" vertical="top" wrapText="1"/>
      <protection locked="0"/>
    </xf>
    <xf numFmtId="14" fontId="5" fillId="0" borderId="1" xfId="0" applyNumberFormat="1" applyFont="1" applyBorder="1" applyAlignment="1" applyProtection="1">
      <alignment horizontal="left" vertical="top" wrapText="1"/>
      <protection locked="0"/>
    </xf>
    <xf numFmtId="0" fontId="22" fillId="0" borderId="1" xfId="0" applyFont="1" applyBorder="1" applyAlignment="1" applyProtection="1">
      <alignment horizontal="center" vertical="center" wrapText="1"/>
      <protection locked="0"/>
    </xf>
    <xf numFmtId="14" fontId="22" fillId="0" borderId="1" xfId="0" applyNumberFormat="1" applyFont="1" applyBorder="1" applyAlignment="1" applyProtection="1">
      <alignment horizontal="center" vertical="center" wrapText="1"/>
      <protection locked="0"/>
    </xf>
    <xf numFmtId="14" fontId="22" fillId="0" borderId="1" xfId="0" applyNumberFormat="1" applyFont="1" applyBorder="1" applyAlignment="1" applyProtection="1">
      <alignment horizontal="left" vertical="top" wrapText="1"/>
      <protection locked="0"/>
    </xf>
    <xf numFmtId="0" fontId="22" fillId="0" borderId="1" xfId="0" applyFont="1" applyBorder="1" applyAlignment="1" applyProtection="1">
      <alignment horizontal="left" vertical="center" wrapText="1"/>
      <protection locked="0"/>
    </xf>
    <xf numFmtId="14" fontId="11" fillId="0" borderId="4" xfId="0" applyNumberFormat="1" applyFont="1" applyBorder="1" applyAlignment="1" applyProtection="1">
      <alignment horizontal="center" vertical="center" wrapText="1"/>
      <protection locked="0"/>
    </xf>
    <xf numFmtId="0" fontId="0" fillId="0" borderId="0" xfId="0" applyAlignment="1" applyProtection="1">
      <alignment vertical="top" wrapText="1"/>
      <protection locked="0"/>
    </xf>
    <xf numFmtId="14" fontId="26" fillId="6" borderId="1" xfId="0" applyNumberFormat="1" applyFont="1" applyFill="1" applyBorder="1" applyAlignment="1" applyProtection="1">
      <alignment horizontal="left" vertical="top" wrapText="1"/>
      <protection locked="0"/>
    </xf>
    <xf numFmtId="0" fontId="11" fillId="0" borderId="0" xfId="0" applyFont="1" applyAlignment="1" applyProtection="1">
      <alignment horizontal="center" vertical="center" wrapText="1"/>
      <protection locked="0"/>
    </xf>
    <xf numFmtId="14" fontId="11" fillId="0" borderId="1" xfId="0" quotePrefix="1" applyNumberFormat="1" applyFont="1" applyBorder="1" applyAlignment="1" applyProtection="1">
      <alignment horizontal="left" vertical="top" wrapText="1"/>
      <protection locked="0"/>
    </xf>
    <xf numFmtId="0" fontId="11" fillId="0" borderId="2" xfId="0" quotePrefix="1" applyFont="1" applyBorder="1" applyAlignment="1" applyProtection="1">
      <alignment horizontal="center" vertical="center" wrapText="1"/>
      <protection locked="0"/>
    </xf>
    <xf numFmtId="0" fontId="0" fillId="0" borderId="0" xfId="0" applyAlignment="1" applyProtection="1">
      <alignment horizontal="left" vertical="top" wrapText="1"/>
      <protection locked="0"/>
    </xf>
    <xf numFmtId="0" fontId="0" fillId="0" borderId="0" xfId="0" applyAlignment="1" applyProtection="1">
      <alignment vertical="top"/>
      <protection locked="0"/>
    </xf>
    <xf numFmtId="0" fontId="22" fillId="0" borderId="4" xfId="0" applyFont="1" applyBorder="1" applyAlignment="1" applyProtection="1">
      <alignment horizontal="center" vertical="center" wrapText="1"/>
      <protection locked="0"/>
    </xf>
    <xf numFmtId="14" fontId="22" fillId="0" borderId="1" xfId="0" applyNumberFormat="1" applyFont="1" applyBorder="1" applyAlignment="1" applyProtection="1">
      <alignment horizontal="center" vertical="top" wrapText="1"/>
      <protection locked="0"/>
    </xf>
    <xf numFmtId="14" fontId="5" fillId="0" borderId="0" xfId="0" applyNumberFormat="1" applyFont="1" applyAlignment="1" applyProtection="1">
      <alignment horizontal="left" vertical="top" wrapText="1"/>
      <protection locked="0"/>
    </xf>
    <xf numFmtId="12" fontId="11" fillId="0" borderId="0" xfId="0" applyNumberFormat="1" applyFont="1" applyAlignment="1" applyProtection="1">
      <alignment horizontal="center" vertical="center" wrapText="1"/>
      <protection locked="0"/>
    </xf>
    <xf numFmtId="0" fontId="11" fillId="0" borderId="0" xfId="0" applyFont="1" applyAlignment="1" applyProtection="1">
      <alignment horizontal="left" vertical="center" wrapText="1"/>
      <protection locked="0"/>
    </xf>
    <xf numFmtId="0" fontId="11" fillId="0" borderId="0" xfId="0" applyFont="1" applyAlignment="1" applyProtection="1">
      <alignment horizontal="left" vertical="center"/>
      <protection locked="0"/>
    </xf>
    <xf numFmtId="12" fontId="11" fillId="31" borderId="1" xfId="0" quotePrefix="1" applyNumberFormat="1" applyFont="1" applyFill="1" applyBorder="1" applyAlignment="1" applyProtection="1">
      <alignment horizontal="center" vertical="center" wrapText="1"/>
      <protection locked="0"/>
    </xf>
    <xf numFmtId="12" fontId="11" fillId="0" borderId="2" xfId="0" quotePrefix="1" applyNumberFormat="1" applyFont="1" applyBorder="1" applyAlignment="1" applyProtection="1">
      <alignment horizontal="center" vertical="center"/>
      <protection locked="0"/>
    </xf>
    <xf numFmtId="14" fontId="11" fillId="30" borderId="1" xfId="0" applyNumberFormat="1" applyFont="1" applyFill="1" applyBorder="1" applyAlignment="1" applyProtection="1">
      <alignment horizontal="left" vertical="top" wrapText="1"/>
      <protection locked="0"/>
    </xf>
    <xf numFmtId="0" fontId="11" fillId="7" borderId="1" xfId="0" applyFont="1" applyFill="1" applyBorder="1" applyAlignment="1" applyProtection="1">
      <alignment horizontal="center" vertical="center" wrapText="1"/>
      <protection locked="0"/>
    </xf>
    <xf numFmtId="14" fontId="83" fillId="22" borderId="1" xfId="0" applyNumberFormat="1" applyFont="1" applyFill="1" applyBorder="1" applyAlignment="1" applyProtection="1">
      <alignment horizontal="left" vertical="top" wrapText="1"/>
      <protection locked="0"/>
    </xf>
    <xf numFmtId="14" fontId="25" fillId="21" borderId="1" xfId="0" applyNumberFormat="1" applyFont="1" applyFill="1" applyBorder="1" applyAlignment="1" applyProtection="1">
      <alignment horizontal="left" vertical="top" wrapText="1"/>
      <protection locked="0"/>
    </xf>
    <xf numFmtId="49" fontId="11" fillId="0" borderId="2" xfId="0" applyNumberFormat="1" applyFont="1" applyBorder="1" applyAlignment="1" applyProtection="1">
      <alignment horizontal="center" vertical="center"/>
      <protection locked="0"/>
    </xf>
    <xf numFmtId="14" fontId="5" fillId="22" borderId="1" xfId="0" applyNumberFormat="1" applyFont="1" applyFill="1" applyBorder="1" applyAlignment="1" applyProtection="1">
      <alignment horizontal="left" vertical="top" wrapText="1"/>
      <protection locked="0"/>
    </xf>
    <xf numFmtId="0" fontId="11" fillId="0" borderId="2" xfId="0" quotePrefix="1" applyFont="1" applyBorder="1" applyAlignment="1" applyProtection="1">
      <alignment horizontal="center" vertical="center"/>
      <protection locked="0"/>
    </xf>
    <xf numFmtId="14" fontId="70" fillId="0" borderId="1" xfId="0" applyNumberFormat="1" applyFont="1" applyBorder="1" applyAlignment="1" applyProtection="1">
      <alignment horizontal="left" vertical="top" wrapText="1"/>
      <protection locked="0"/>
    </xf>
    <xf numFmtId="14" fontId="25" fillId="2" borderId="1" xfId="0" applyNumberFormat="1" applyFont="1" applyFill="1" applyBorder="1" applyAlignment="1" applyProtection="1">
      <alignment horizontal="left" vertical="top" wrapText="1"/>
      <protection locked="0"/>
    </xf>
    <xf numFmtId="14" fontId="37" fillId="0" borderId="1" xfId="0" applyNumberFormat="1" applyFont="1" applyBorder="1" applyAlignment="1" applyProtection="1">
      <alignment horizontal="left" vertical="top" wrapText="1"/>
      <protection locked="0"/>
    </xf>
    <xf numFmtId="14" fontId="22" fillId="0" borderId="4" xfId="0" applyNumberFormat="1" applyFont="1" applyBorder="1" applyAlignment="1" applyProtection="1">
      <alignment horizontal="center" vertical="center" wrapText="1"/>
      <protection locked="0"/>
    </xf>
    <xf numFmtId="12" fontId="11" fillId="24" borderId="1" xfId="0" applyNumberFormat="1" applyFont="1" applyFill="1" applyBorder="1" applyAlignment="1" applyProtection="1">
      <alignment horizontal="center" vertical="center" wrapText="1"/>
      <protection locked="0"/>
    </xf>
    <xf numFmtId="0" fontId="11" fillId="24" borderId="1" xfId="0" applyFont="1" applyFill="1" applyBorder="1" applyAlignment="1" applyProtection="1">
      <alignment horizontal="left" vertical="top" wrapText="1"/>
      <protection locked="0"/>
    </xf>
    <xf numFmtId="0" fontId="57" fillId="0" borderId="0" xfId="0" applyFont="1" applyProtection="1">
      <protection locked="0"/>
    </xf>
    <xf numFmtId="0" fontId="32" fillId="0" borderId="1" xfId="0" applyFont="1" applyBorder="1" applyAlignment="1" applyProtection="1">
      <alignment horizontal="left" vertical="top" wrapText="1"/>
      <protection locked="0"/>
    </xf>
    <xf numFmtId="14" fontId="40" fillId="24" borderId="1" xfId="0" applyNumberFormat="1" applyFont="1" applyFill="1" applyBorder="1" applyAlignment="1" applyProtection="1">
      <alignment horizontal="left" vertical="top" wrapText="1"/>
      <protection locked="0"/>
    </xf>
    <xf numFmtId="0" fontId="11" fillId="0" borderId="4" xfId="0" applyFont="1" applyBorder="1" applyAlignment="1" applyProtection="1">
      <alignment horizontal="center" vertical="center" wrapText="1"/>
      <protection locked="0"/>
    </xf>
    <xf numFmtId="14" fontId="11" fillId="21" borderId="1" xfId="0" applyNumberFormat="1" applyFont="1" applyFill="1" applyBorder="1" applyAlignment="1" applyProtection="1">
      <alignment horizontal="left" vertical="top" wrapText="1"/>
      <protection locked="0"/>
    </xf>
    <xf numFmtId="14" fontId="11" fillId="4" borderId="1" xfId="0" applyNumberFormat="1" applyFont="1" applyFill="1" applyBorder="1" applyAlignment="1" applyProtection="1">
      <alignment horizontal="left" vertical="top" wrapText="1"/>
      <protection locked="0"/>
    </xf>
    <xf numFmtId="49" fontId="11" fillId="0" borderId="1" xfId="0" quotePrefix="1" applyNumberFormat="1" applyFont="1" applyBorder="1" applyAlignment="1" applyProtection="1">
      <alignment horizontal="center" vertical="center" wrapText="1"/>
      <protection locked="0"/>
    </xf>
    <xf numFmtId="49" fontId="11" fillId="0" borderId="1" xfId="0" applyNumberFormat="1" applyFont="1" applyBorder="1" applyAlignment="1" applyProtection="1">
      <alignment horizontal="center" vertical="center" wrapText="1"/>
      <protection locked="0"/>
    </xf>
    <xf numFmtId="0" fontId="5" fillId="27" borderId="2" xfId="0" applyFont="1" applyFill="1" applyBorder="1" applyAlignment="1" applyProtection="1">
      <alignment horizontal="left" vertical="center" wrapText="1"/>
      <protection locked="0"/>
    </xf>
    <xf numFmtId="0" fontId="5" fillId="0" borderId="1" xfId="0" applyFont="1" applyBorder="1" applyAlignment="1" applyProtection="1">
      <alignment horizontal="center" vertical="center" wrapText="1"/>
      <protection locked="0"/>
    </xf>
    <xf numFmtId="0" fontId="11" fillId="24" borderId="2" xfId="0" applyFont="1" applyFill="1" applyBorder="1" applyAlignment="1" applyProtection="1">
      <alignment horizontal="left" vertical="center" wrapText="1"/>
      <protection locked="0"/>
    </xf>
    <xf numFmtId="12" fontId="11" fillId="0" borderId="4" xfId="0" quotePrefix="1" applyNumberFormat="1" applyFont="1" applyBorder="1" applyAlignment="1" applyProtection="1">
      <alignment horizontal="center" vertical="center" wrapText="1"/>
      <protection locked="0"/>
    </xf>
    <xf numFmtId="0" fontId="11" fillId="0" borderId="10" xfId="0" applyFont="1" applyBorder="1" applyAlignment="1" applyProtection="1">
      <alignment horizontal="left" vertical="center" wrapText="1"/>
      <protection locked="0"/>
    </xf>
    <xf numFmtId="0" fontId="11" fillId="0" borderId="10" xfId="0" applyFont="1" applyBorder="1" applyAlignment="1" applyProtection="1">
      <alignment horizontal="left" vertical="center"/>
      <protection locked="0"/>
    </xf>
    <xf numFmtId="0" fontId="11" fillId="0" borderId="10" xfId="0" applyFont="1" applyBorder="1" applyAlignment="1" applyProtection="1">
      <alignment horizontal="center" vertical="center" wrapText="1"/>
      <protection locked="0"/>
    </xf>
    <xf numFmtId="0" fontId="14" fillId="0" borderId="10" xfId="0" applyFont="1" applyBorder="1" applyAlignment="1" applyProtection="1">
      <alignment horizontal="center" vertical="center"/>
      <protection locked="0"/>
    </xf>
    <xf numFmtId="12" fontId="11" fillId="0" borderId="10" xfId="0" applyNumberFormat="1" applyFont="1" applyBorder="1" applyAlignment="1" applyProtection="1">
      <alignment horizontal="center" vertical="center" wrapText="1"/>
      <protection locked="0"/>
    </xf>
    <xf numFmtId="0" fontId="11" fillId="0" borderId="4" xfId="0" applyFont="1" applyBorder="1" applyAlignment="1" applyProtection="1">
      <alignment horizontal="center" vertical="center"/>
      <protection locked="0"/>
    </xf>
    <xf numFmtId="0" fontId="11" fillId="0" borderId="4" xfId="0" applyFont="1" applyBorder="1" applyAlignment="1" applyProtection="1">
      <alignment horizontal="left" vertical="center" wrapText="1"/>
      <protection locked="0"/>
    </xf>
    <xf numFmtId="0" fontId="11" fillId="0" borderId="2" xfId="0" quotePrefix="1" applyFont="1" applyBorder="1" applyAlignment="1" applyProtection="1">
      <alignment horizontal="left" vertical="center" wrapText="1"/>
      <protection locked="0"/>
    </xf>
    <xf numFmtId="0" fontId="22" fillId="24" borderId="1" xfId="0" applyFont="1" applyFill="1" applyBorder="1" applyAlignment="1" applyProtection="1">
      <alignment horizontal="center" vertical="center" wrapText="1"/>
      <protection locked="0"/>
    </xf>
    <xf numFmtId="1" fontId="11" fillId="0" borderId="4" xfId="0" quotePrefix="1" applyNumberFormat="1" applyFont="1" applyBorder="1" applyAlignment="1" applyProtection="1">
      <alignment horizontal="center" vertical="center" wrapText="1"/>
      <protection locked="0"/>
    </xf>
    <xf numFmtId="0" fontId="11" fillId="0" borderId="10" xfId="0" quotePrefix="1" applyFont="1" applyBorder="1" applyAlignment="1" applyProtection="1">
      <alignment horizontal="center" vertical="center" wrapText="1"/>
      <protection locked="0"/>
    </xf>
    <xf numFmtId="0" fontId="11" fillId="0" borderId="10" xfId="0" applyFont="1" applyBorder="1" applyAlignment="1" applyProtection="1">
      <alignment horizontal="center" vertical="center"/>
      <protection locked="0"/>
    </xf>
    <xf numFmtId="0" fontId="22" fillId="0" borderId="4" xfId="0" applyFont="1" applyBorder="1" applyAlignment="1" applyProtection="1">
      <alignment horizontal="left" vertical="center" wrapText="1"/>
      <protection locked="0"/>
    </xf>
    <xf numFmtId="14" fontId="11" fillId="32" borderId="1" xfId="0" applyNumberFormat="1" applyFont="1" applyFill="1" applyBorder="1" applyAlignment="1" applyProtection="1">
      <alignment horizontal="left" vertical="top" wrapText="1"/>
      <protection locked="0"/>
    </xf>
    <xf numFmtId="12" fontId="11" fillId="0" borderId="2" xfId="0" applyNumberFormat="1" applyFont="1" applyBorder="1" applyAlignment="1" applyProtection="1">
      <alignment horizontal="center" vertical="center"/>
      <protection locked="0"/>
    </xf>
    <xf numFmtId="0" fontId="0" fillId="0" borderId="10" xfId="0" applyBorder="1" applyProtection="1">
      <protection locked="0"/>
    </xf>
    <xf numFmtId="12" fontId="11" fillId="0" borderId="4" xfId="0" applyNumberFormat="1" applyFont="1" applyBorder="1" applyAlignment="1" applyProtection="1">
      <alignment horizontal="center" vertical="center" wrapText="1"/>
      <protection locked="0"/>
    </xf>
    <xf numFmtId="14" fontId="11" fillId="0" borderId="4" xfId="0" applyNumberFormat="1" applyFont="1" applyBorder="1" applyAlignment="1" applyProtection="1">
      <alignment horizontal="left" vertical="top" wrapText="1"/>
      <protection locked="0"/>
    </xf>
    <xf numFmtId="0" fontId="17" fillId="0" borderId="10" xfId="0" applyFont="1" applyBorder="1" applyProtection="1">
      <protection locked="0"/>
    </xf>
    <xf numFmtId="12" fontId="37" fillId="0" borderId="4" xfId="0" quotePrefix="1" applyNumberFormat="1" applyFont="1" applyBorder="1" applyAlignment="1" applyProtection="1">
      <alignment horizontal="center" vertical="center" wrapText="1"/>
      <protection locked="0"/>
    </xf>
    <xf numFmtId="0" fontId="37" fillId="0" borderId="10" xfId="0" applyFont="1" applyBorder="1" applyAlignment="1" applyProtection="1">
      <alignment horizontal="left" vertical="center" wrapText="1"/>
      <protection locked="0"/>
    </xf>
    <xf numFmtId="0" fontId="37" fillId="0" borderId="4" xfId="0" applyFont="1" applyBorder="1" applyAlignment="1" applyProtection="1">
      <alignment horizontal="center" vertical="center" wrapText="1"/>
      <protection locked="0"/>
    </xf>
    <xf numFmtId="14" fontId="37" fillId="0" borderId="4" xfId="0" applyNumberFormat="1" applyFont="1" applyBorder="1" applyAlignment="1" applyProtection="1">
      <alignment horizontal="center" vertical="center" wrapText="1"/>
      <protection locked="0"/>
    </xf>
    <xf numFmtId="14" fontId="37" fillId="0" borderId="4" xfId="0" applyNumberFormat="1" applyFont="1" applyBorder="1" applyAlignment="1" applyProtection="1">
      <alignment horizontal="left" vertical="top" wrapText="1"/>
      <protection locked="0"/>
    </xf>
    <xf numFmtId="0" fontId="37" fillId="0" borderId="4" xfId="0" applyFont="1" applyBorder="1" applyAlignment="1" applyProtection="1">
      <alignment horizontal="left" vertical="center" wrapText="1"/>
      <protection locked="0"/>
    </xf>
    <xf numFmtId="0" fontId="37" fillId="0" borderId="4" xfId="0" applyFont="1" applyBorder="1" applyAlignment="1" applyProtection="1">
      <alignment horizontal="center" vertical="center"/>
      <protection locked="0"/>
    </xf>
    <xf numFmtId="12" fontId="37" fillId="0" borderId="1" xfId="0" quotePrefix="1" applyNumberFormat="1" applyFont="1" applyBorder="1" applyAlignment="1" applyProtection="1">
      <alignment horizontal="center" vertical="center" wrapText="1"/>
      <protection locked="0"/>
    </xf>
    <xf numFmtId="0" fontId="11" fillId="24" borderId="4" xfId="0" applyFont="1" applyFill="1" applyBorder="1" applyAlignment="1" applyProtection="1">
      <alignment horizontal="center" vertical="center" wrapText="1"/>
      <protection locked="0"/>
    </xf>
    <xf numFmtId="14" fontId="23" fillId="0" borderId="1" xfId="0" applyNumberFormat="1" applyFont="1" applyBorder="1" applyAlignment="1" applyProtection="1">
      <alignment horizontal="left" vertical="top" wrapText="1"/>
      <protection locked="0"/>
    </xf>
    <xf numFmtId="0" fontId="11" fillId="0" borderId="1" xfId="0" applyFont="1" applyBorder="1" applyAlignment="1" applyProtection="1">
      <alignment horizontal="left" vertical="top" wrapText="1"/>
      <protection locked="0"/>
    </xf>
    <xf numFmtId="0" fontId="11" fillId="0" borderId="10" xfId="0" quotePrefix="1" applyFont="1" applyBorder="1" applyAlignment="1" applyProtection="1">
      <alignment horizontal="center" vertical="center"/>
      <protection locked="0"/>
    </xf>
    <xf numFmtId="14" fontId="32" fillId="0" borderId="4" xfId="0" applyNumberFormat="1" applyFont="1" applyBorder="1" applyAlignment="1" applyProtection="1">
      <alignment horizontal="left" vertical="top" wrapText="1"/>
      <protection locked="0"/>
    </xf>
    <xf numFmtId="14" fontId="22" fillId="0" borderId="4" xfId="0" applyNumberFormat="1" applyFont="1" applyBorder="1" applyAlignment="1" applyProtection="1">
      <alignment horizontal="left" vertical="top" wrapText="1"/>
      <protection locked="0"/>
    </xf>
    <xf numFmtId="0" fontId="22" fillId="7" borderId="1" xfId="0" applyFont="1" applyFill="1" applyBorder="1" applyAlignment="1" applyProtection="1">
      <alignment horizontal="center" vertical="center" wrapText="1"/>
      <protection locked="0"/>
    </xf>
    <xf numFmtId="0" fontId="14" fillId="0" borderId="10" xfId="0" applyFont="1" applyBorder="1" applyAlignment="1" applyProtection="1">
      <alignment horizontal="center" vertical="center" wrapText="1"/>
      <protection locked="0"/>
    </xf>
    <xf numFmtId="14" fontId="22" fillId="22" borderId="0" xfId="0" applyNumberFormat="1" applyFont="1" applyFill="1" applyAlignment="1" applyProtection="1">
      <alignment horizontal="left" vertical="top" wrapText="1"/>
      <protection locked="0"/>
    </xf>
    <xf numFmtId="0" fontId="5" fillId="0" borderId="10" xfId="0" applyFont="1" applyBorder="1" applyAlignment="1" applyProtection="1">
      <alignment horizontal="left" vertical="center" wrapText="1"/>
      <protection locked="0"/>
    </xf>
    <xf numFmtId="12" fontId="75" fillId="0" borderId="4" xfId="0" applyNumberFormat="1" applyFont="1" applyBorder="1" applyAlignment="1" applyProtection="1">
      <alignment horizontal="center" vertical="center" wrapText="1"/>
      <protection locked="0"/>
    </xf>
    <xf numFmtId="14" fontId="40" fillId="0" borderId="4" xfId="0" applyNumberFormat="1" applyFont="1" applyBorder="1" applyAlignment="1" applyProtection="1">
      <alignment horizontal="left" vertical="top" wrapText="1"/>
      <protection locked="0"/>
    </xf>
    <xf numFmtId="0" fontId="11" fillId="0" borderId="10" xfId="0" quotePrefix="1" applyFont="1" applyBorder="1" applyAlignment="1" applyProtection="1">
      <alignment horizontal="left" vertical="center"/>
      <protection locked="0"/>
    </xf>
    <xf numFmtId="0" fontId="40" fillId="0" borderId="51" xfId="0" quotePrefix="1" applyFont="1" applyBorder="1" applyAlignment="1" applyProtection="1">
      <alignment horizontal="center" vertical="center" readingOrder="1"/>
      <protection locked="0"/>
    </xf>
    <xf numFmtId="0" fontId="40" fillId="0" borderId="51" xfId="0" applyFont="1" applyBorder="1" applyAlignment="1" applyProtection="1">
      <alignment horizontal="center" vertical="center" readingOrder="1"/>
      <protection locked="0"/>
    </xf>
    <xf numFmtId="14" fontId="11" fillId="24" borderId="4" xfId="0" applyNumberFormat="1" applyFont="1" applyFill="1" applyBorder="1" applyAlignment="1" applyProtection="1">
      <alignment horizontal="left" vertical="top" wrapText="1"/>
      <protection locked="0"/>
    </xf>
    <xf numFmtId="0" fontId="40" fillId="0" borderId="51" xfId="0" applyFont="1" applyBorder="1" applyAlignment="1" applyProtection="1">
      <alignment vertical="center" readingOrder="1"/>
      <protection locked="0"/>
    </xf>
    <xf numFmtId="0" fontId="79" fillId="0" borderId="52" xfId="0" applyFont="1" applyBorder="1" applyAlignment="1" applyProtection="1">
      <alignment wrapText="1"/>
      <protection locked="0"/>
    </xf>
    <xf numFmtId="12" fontId="80" fillId="0" borderId="1" xfId="0" applyNumberFormat="1" applyFont="1" applyBorder="1" applyAlignment="1" applyProtection="1">
      <alignment horizontal="center" vertical="center" wrapText="1"/>
      <protection locked="0"/>
    </xf>
    <xf numFmtId="0" fontId="80" fillId="0" borderId="2" xfId="0" applyFont="1" applyBorder="1" applyAlignment="1" applyProtection="1">
      <alignment horizontal="left" vertical="center" wrapText="1"/>
      <protection locked="0"/>
    </xf>
    <xf numFmtId="12" fontId="80" fillId="0" borderId="4" xfId="0" applyNumberFormat="1" applyFont="1" applyBorder="1" applyAlignment="1" applyProtection="1">
      <alignment horizontal="center" vertical="center" wrapText="1"/>
      <protection locked="0"/>
    </xf>
    <xf numFmtId="0" fontId="81" fillId="0" borderId="10" xfId="0" applyFont="1" applyBorder="1" applyAlignment="1" applyProtection="1">
      <alignment horizontal="left" vertical="center" wrapText="1"/>
      <protection locked="0"/>
    </xf>
    <xf numFmtId="14" fontId="22" fillId="26" borderId="1" xfId="0" applyNumberFormat="1" applyFont="1" applyFill="1" applyBorder="1" applyAlignment="1" applyProtection="1">
      <alignment horizontal="left" vertical="top" wrapText="1"/>
      <protection locked="0"/>
    </xf>
    <xf numFmtId="14" fontId="11" fillId="37" borderId="1" xfId="0" applyNumberFormat="1" applyFont="1" applyFill="1" applyBorder="1" applyAlignment="1" applyProtection="1">
      <alignment horizontal="left" vertical="top" wrapText="1"/>
      <protection locked="0"/>
    </xf>
    <xf numFmtId="0" fontId="22" fillId="28" borderId="1" xfId="0" applyFont="1" applyFill="1" applyBorder="1" applyAlignment="1" applyProtection="1">
      <alignment horizontal="center" vertical="center" wrapText="1"/>
      <protection locked="0"/>
    </xf>
    <xf numFmtId="14" fontId="11" fillId="0" borderId="1" xfId="0" applyNumberFormat="1" applyFont="1" applyBorder="1" applyAlignment="1" applyProtection="1">
      <alignment horizontal="left" vertical="center" wrapText="1"/>
      <protection locked="0"/>
    </xf>
    <xf numFmtId="14" fontId="40" fillId="37" borderId="0" xfId="0" applyNumberFormat="1" applyFont="1" applyFill="1" applyAlignment="1" applyProtection="1">
      <alignment horizontal="left" vertical="top" wrapText="1"/>
      <protection locked="0"/>
    </xf>
    <xf numFmtId="0" fontId="10" fillId="0" borderId="0" xfId="0" applyFont="1" applyAlignment="1" applyProtection="1">
      <alignment horizontal="center" vertical="center"/>
      <protection locked="0"/>
    </xf>
    <xf numFmtId="14" fontId="82" fillId="7" borderId="3" xfId="0" applyNumberFormat="1" applyFont="1" applyFill="1" applyBorder="1" applyAlignment="1">
      <alignment horizontal="center" vertical="center" wrapText="1"/>
    </xf>
    <xf numFmtId="14" fontId="82" fillId="7" borderId="6" xfId="0" applyNumberFormat="1" applyFont="1" applyFill="1" applyBorder="1" applyAlignment="1">
      <alignment horizontal="center" vertical="center" wrapText="1"/>
    </xf>
    <xf numFmtId="0" fontId="86" fillId="0" borderId="0" xfId="0" applyFont="1" applyAlignment="1">
      <alignment horizontal="center" vertical="center" wrapText="1"/>
    </xf>
    <xf numFmtId="0" fontId="54" fillId="0" borderId="30" xfId="0" applyFont="1" applyBorder="1" applyAlignment="1">
      <alignment horizontal="center" vertical="center" wrapText="1"/>
    </xf>
    <xf numFmtId="0" fontId="54" fillId="0" borderId="29" xfId="0" applyFont="1" applyBorder="1" applyAlignment="1">
      <alignment horizontal="left" vertical="center" wrapText="1"/>
    </xf>
    <xf numFmtId="0" fontId="54" fillId="0" borderId="30" xfId="0" applyFont="1" applyBorder="1" applyAlignment="1">
      <alignment horizontal="left" vertical="center" wrapText="1"/>
    </xf>
    <xf numFmtId="0" fontId="54" fillId="0" borderId="31" xfId="0" applyFont="1" applyBorder="1" applyAlignment="1">
      <alignment horizontal="left" vertical="center" wrapText="1"/>
    </xf>
    <xf numFmtId="0" fontId="59" fillId="0" borderId="29" xfId="0" applyFont="1" applyBorder="1" applyAlignment="1">
      <alignment horizontal="left" vertical="center" wrapText="1"/>
    </xf>
    <xf numFmtId="0" fontId="59" fillId="0" borderId="30" xfId="0" applyFont="1" applyBorder="1" applyAlignment="1">
      <alignment horizontal="left" vertical="center" wrapText="1"/>
    </xf>
    <xf numFmtId="0" fontId="59" fillId="0" borderId="31" xfId="0" applyFont="1" applyBorder="1" applyAlignment="1">
      <alignment horizontal="left" vertical="center" wrapText="1"/>
    </xf>
    <xf numFmtId="0" fontId="0" fillId="0" borderId="0" xfId="0" applyAlignment="1">
      <alignment horizontal="center"/>
    </xf>
    <xf numFmtId="0" fontId="51" fillId="0" borderId="0" xfId="0" applyFont="1" applyAlignment="1">
      <alignment horizontal="center" vertical="center"/>
    </xf>
    <xf numFmtId="0" fontId="52" fillId="0" borderId="14" xfId="0" applyFont="1" applyBorder="1" applyAlignment="1">
      <alignment horizontal="center" vertical="top"/>
    </xf>
    <xf numFmtId="0" fontId="52" fillId="0" borderId="16" xfId="0" applyFont="1" applyBorder="1" applyAlignment="1">
      <alignment horizontal="center" vertical="top"/>
    </xf>
    <xf numFmtId="49" fontId="52" fillId="0" borderId="14" xfId="0" applyNumberFormat="1" applyFont="1" applyBorder="1" applyAlignment="1">
      <alignment horizontal="center" vertical="top"/>
    </xf>
    <xf numFmtId="49" fontId="52" fillId="0" borderId="15" xfId="0" applyNumberFormat="1" applyFont="1" applyBorder="1" applyAlignment="1">
      <alignment horizontal="center" vertical="top"/>
    </xf>
    <xf numFmtId="49" fontId="52" fillId="0" borderId="16" xfId="0" applyNumberFormat="1" applyFont="1" applyBorder="1" applyAlignment="1">
      <alignment horizontal="center" vertical="top"/>
    </xf>
    <xf numFmtId="0" fontId="52" fillId="0" borderId="15" xfId="0" applyFont="1" applyBorder="1" applyAlignment="1">
      <alignment horizontal="center" vertical="top"/>
    </xf>
    <xf numFmtId="164" fontId="53" fillId="0" borderId="19" xfId="0" applyNumberFormat="1" applyFont="1" applyBorder="1" applyAlignment="1">
      <alignment horizontal="center" vertical="center" wrapText="1"/>
    </xf>
    <xf numFmtId="164" fontId="53" fillId="0" borderId="21" xfId="0" applyNumberFormat="1" applyFont="1" applyBorder="1" applyAlignment="1">
      <alignment horizontal="center" vertical="center" wrapText="1"/>
    </xf>
    <xf numFmtId="0" fontId="53" fillId="0" borderId="19" xfId="0" applyFont="1" applyBorder="1" applyAlignment="1">
      <alignment horizontal="center" vertical="center" wrapText="1"/>
    </xf>
    <xf numFmtId="0" fontId="53" fillId="0" borderId="20" xfId="0" applyFont="1" applyBorder="1" applyAlignment="1">
      <alignment horizontal="center" vertical="center" wrapText="1"/>
    </xf>
    <xf numFmtId="0" fontId="53" fillId="0" borderId="21" xfId="0" applyFont="1" applyBorder="1" applyAlignment="1">
      <alignment horizontal="center" vertical="center" wrapText="1"/>
    </xf>
    <xf numFmtId="0" fontId="54" fillId="29" borderId="25" xfId="0" applyFont="1" applyFill="1" applyBorder="1" applyAlignment="1">
      <alignment horizontal="center" vertical="center" wrapText="1"/>
    </xf>
    <xf numFmtId="0" fontId="54" fillId="29" borderId="27" xfId="0" applyFont="1" applyFill="1" applyBorder="1" applyAlignment="1">
      <alignment horizontal="center" vertical="center" wrapText="1"/>
    </xf>
    <xf numFmtId="0" fontId="54" fillId="0" borderId="29" xfId="0" applyFont="1" applyBorder="1" applyAlignment="1">
      <alignment horizontal="center" vertical="center" wrapText="1"/>
    </xf>
    <xf numFmtId="0" fontId="54" fillId="0" borderId="31" xfId="0" applyFont="1" applyBorder="1" applyAlignment="1">
      <alignment horizontal="center" vertical="center" wrapText="1"/>
    </xf>
    <xf numFmtId="14" fontId="53" fillId="0" borderId="19" xfId="0" applyNumberFormat="1" applyFont="1" applyBorder="1" applyAlignment="1">
      <alignment horizontal="center" vertical="center"/>
    </xf>
    <xf numFmtId="0" fontId="53" fillId="0" borderId="20" xfId="0" applyFont="1" applyBorder="1" applyAlignment="1">
      <alignment horizontal="center" vertical="center"/>
    </xf>
    <xf numFmtId="0" fontId="53" fillId="0" borderId="21" xfId="0" applyFont="1" applyBorder="1" applyAlignment="1">
      <alignment horizontal="center" vertical="center"/>
    </xf>
    <xf numFmtId="0" fontId="54" fillId="29" borderId="28" xfId="0" applyFont="1" applyFill="1" applyBorder="1" applyAlignment="1">
      <alignment horizontal="center" vertical="center" wrapText="1"/>
    </xf>
    <xf numFmtId="0" fontId="54" fillId="24" borderId="29" xfId="0" applyFont="1" applyFill="1" applyBorder="1" applyAlignment="1">
      <alignment horizontal="center" vertical="center" wrapText="1"/>
    </xf>
    <xf numFmtId="0" fontId="54" fillId="24" borderId="30" xfId="0" applyFont="1" applyFill="1" applyBorder="1" applyAlignment="1">
      <alignment horizontal="center" vertical="center" wrapText="1"/>
    </xf>
    <xf numFmtId="0" fontId="54" fillId="24" borderId="31" xfId="0" applyFont="1" applyFill="1" applyBorder="1" applyAlignment="1">
      <alignment horizontal="center" vertical="center" wrapText="1"/>
    </xf>
    <xf numFmtId="0" fontId="0" fillId="0" borderId="0" xfId="0" applyAlignment="1"/>
    <xf numFmtId="0" fontId="0" fillId="0" borderId="0" xfId="0" applyAlignment="1">
      <alignment horizontal="left" vertical="center" wrapText="1"/>
    </xf>
    <xf numFmtId="9" fontId="54" fillId="0" borderId="32" xfId="2" applyFont="1" applyFill="1" applyBorder="1" applyAlignment="1">
      <alignment horizontal="center" vertical="center" wrapText="1"/>
    </xf>
    <xf numFmtId="9" fontId="54" fillId="0" borderId="33" xfId="2" applyFont="1" applyFill="1" applyBorder="1" applyAlignment="1">
      <alignment horizontal="center" vertical="center" wrapText="1"/>
    </xf>
    <xf numFmtId="9" fontId="54" fillId="0" borderId="34" xfId="2" applyFont="1" applyFill="1" applyBorder="1" applyAlignment="1">
      <alignment horizontal="center" vertical="center" wrapText="1"/>
    </xf>
    <xf numFmtId="0" fontId="12" fillId="7" borderId="4"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7" borderId="10" xfId="0" applyFont="1" applyFill="1" applyBorder="1" applyAlignment="1">
      <alignment horizontal="center" vertical="center" wrapText="1"/>
    </xf>
    <xf numFmtId="0" fontId="12" fillId="7" borderId="13" xfId="0" applyFont="1" applyFill="1" applyBorder="1" applyAlignment="1">
      <alignment horizontal="center" vertical="center" wrapText="1"/>
    </xf>
    <xf numFmtId="0" fontId="12" fillId="0" borderId="4" xfId="0" applyFont="1" applyBorder="1" applyAlignment="1">
      <alignment horizontal="center" vertical="center" wrapText="1"/>
    </xf>
    <xf numFmtId="0" fontId="12" fillId="0" borderId="3" xfId="0" applyFont="1" applyBorder="1" applyAlignment="1">
      <alignment horizontal="center" vertical="center" wrapText="1"/>
    </xf>
    <xf numFmtId="0" fontId="12" fillId="7" borderId="1" xfId="0" applyFont="1" applyFill="1" applyBorder="1" applyAlignment="1">
      <alignment horizontal="center" vertical="center" wrapText="1"/>
    </xf>
    <xf numFmtId="14" fontId="60" fillId="15" borderId="0" xfId="0" applyNumberFormat="1" applyFont="1" applyFill="1" applyAlignment="1">
      <alignment horizontal="center" vertical="center" wrapText="1"/>
    </xf>
    <xf numFmtId="0" fontId="19" fillId="15" borderId="0" xfId="0" applyFont="1" applyFill="1" applyAlignment="1">
      <alignment horizontal="center" wrapText="1"/>
    </xf>
    <xf numFmtId="0" fontId="18" fillId="0" borderId="0" xfId="0" applyFont="1" applyAlignment="1">
      <alignment horizontal="left" vertical="center" wrapText="1"/>
    </xf>
    <xf numFmtId="0" fontId="60" fillId="15" borderId="0" xfId="0" applyFont="1" applyFill="1" applyAlignment="1">
      <alignment horizontal="center" vertical="center" wrapText="1"/>
    </xf>
    <xf numFmtId="14" fontId="31" fillId="20" borderId="0" xfId="0" applyNumberFormat="1" applyFont="1" applyFill="1" applyAlignment="1">
      <alignment horizontal="center" wrapText="1"/>
    </xf>
    <xf numFmtId="0" fontId="12" fillId="7" borderId="3" xfId="0" applyFont="1" applyFill="1" applyBorder="1" applyAlignment="1">
      <alignment horizontal="center" vertical="center" wrapText="1"/>
    </xf>
    <xf numFmtId="0" fontId="12" fillId="7" borderId="23" xfId="0" applyFont="1" applyFill="1" applyBorder="1" applyAlignment="1">
      <alignment horizontal="center" vertical="center" wrapText="1"/>
    </xf>
    <xf numFmtId="0" fontId="12" fillId="7" borderId="22" xfId="0" applyFont="1" applyFill="1" applyBorder="1" applyAlignment="1">
      <alignment horizontal="center" vertical="center" wrapText="1"/>
    </xf>
    <xf numFmtId="0" fontId="12" fillId="0" borderId="2" xfId="0" applyFont="1" applyBorder="1" applyAlignment="1">
      <alignment horizontal="center" vertical="center" wrapText="1"/>
    </xf>
    <xf numFmtId="0" fontId="12" fillId="0" borderId="9" xfId="0" applyFont="1" applyBorder="1" applyAlignment="1">
      <alignment horizontal="center" vertical="center" wrapText="1"/>
    </xf>
    <xf numFmtId="0" fontId="12" fillId="0" borderId="7" xfId="0" applyFont="1" applyBorder="1" applyAlignment="1">
      <alignment horizontal="center" vertical="center" wrapText="1"/>
    </xf>
    <xf numFmtId="0" fontId="66" fillId="35" borderId="32" xfId="0" applyFont="1" applyFill="1" applyBorder="1" applyAlignment="1">
      <alignment horizontal="center" vertical="center"/>
    </xf>
    <xf numFmtId="0" fontId="66" fillId="35" borderId="34" xfId="0" applyFont="1" applyFill="1" applyBorder="1" applyAlignment="1">
      <alignment horizontal="center" vertical="center"/>
    </xf>
    <xf numFmtId="0" fontId="12" fillId="7" borderId="41"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2" fillId="7" borderId="42" xfId="0" applyFont="1" applyFill="1" applyBorder="1" applyAlignment="1">
      <alignment horizontal="center" vertical="center" wrapText="1"/>
    </xf>
    <xf numFmtId="0" fontId="12" fillId="7" borderId="4" xfId="0" applyFont="1" applyFill="1" applyBorder="1" applyAlignment="1">
      <alignment horizontal="center" vertical="top" wrapText="1"/>
    </xf>
  </cellXfs>
  <cellStyles count="4">
    <cellStyle name="Normal" xfId="0" builtinId="0"/>
    <cellStyle name="Normal 2" xfId="1" xr:uid="{023C2BF2-E8E4-4D25-BCBA-3126F6CF74A0}"/>
    <cellStyle name="Normal 3" xfId="3" xr:uid="{AFD35825-F6C5-4492-9934-D6A6AD65A4EE}"/>
    <cellStyle name="Porcentaje" xfId="2" builtinId="5"/>
  </cellStyles>
  <dxfs count="458">
    <dxf>
      <font>
        <sz val="16"/>
        <color auto="1"/>
        <name val="Neo Sans"/>
        <family val="2"/>
        <scheme val="none"/>
      </font>
      <numFmt numFmtId="19" formatCode="dd/mm/yyyy"/>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theme="4" tint="0.39997558519241921"/>
        </top>
        <bottom style="thin">
          <color indexed="64"/>
        </bottom>
      </border>
    </dxf>
    <dxf>
      <font>
        <sz val="16"/>
        <color auto="1"/>
        <name val="Neo Sans"/>
        <family val="2"/>
        <scheme val="none"/>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bottom style="thin">
          <color indexed="64"/>
        </bottom>
      </border>
    </dxf>
    <dxf>
      <font>
        <b val="0"/>
        <sz val="16"/>
        <color auto="1"/>
        <name val="Neo Sans"/>
        <family val="2"/>
        <scheme val="none"/>
      </font>
      <numFmt numFmtId="19" formatCode="dd/mm/yyyy"/>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bottom/>
        <vertical/>
        <horizontal/>
      </border>
    </dxf>
    <dxf>
      <font>
        <b val="0"/>
        <sz val="16"/>
        <color auto="1"/>
        <name val="Neo Sans"/>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6"/>
        <color auto="1"/>
        <name val="Neo Sans"/>
        <family val="2"/>
        <scheme val="none"/>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6"/>
        <color auto="1"/>
        <name val="Neo Sans"/>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6"/>
        <color auto="1"/>
        <name val="Neo San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6"/>
        <color auto="1"/>
        <name val="Neo Sans"/>
        <family val="2"/>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outline val="0"/>
        <shadow val="0"/>
        <u val="none"/>
        <vertAlign val="baseline"/>
        <sz val="16"/>
        <color auto="1"/>
        <name val="Neo Sans"/>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bottom/>
        <vertical/>
        <horizontal/>
      </border>
    </dxf>
    <dxf>
      <font>
        <b val="0"/>
        <strike val="0"/>
        <outline val="0"/>
        <shadow val="0"/>
        <u val="none"/>
        <vertAlign val="baseline"/>
        <sz val="16"/>
        <color auto="1"/>
        <name val="Neo Sans"/>
        <family val="2"/>
        <scheme val="none"/>
      </font>
      <numFmt numFmtId="19" formatCode="dd/mm/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horizontal/>
      </border>
    </dxf>
    <dxf>
      <font>
        <b val="0"/>
        <sz val="16"/>
        <color auto="1"/>
        <name val="Neo Sans"/>
        <family val="2"/>
        <scheme val="none"/>
      </font>
      <numFmt numFmtId="19" formatCode="dd/mm/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horizontal/>
      </border>
    </dxf>
    <dxf>
      <font>
        <b/>
        <sz val="16"/>
        <color auto="1"/>
        <name val="Neo Sans"/>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sz val="16"/>
        <color auto="1"/>
        <name val="Neo Sans"/>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sz val="16"/>
        <color auto="1"/>
        <name val="Neo Sans"/>
        <family val="2"/>
        <scheme val="none"/>
      </font>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border outline="0">
        <top style="thin">
          <color rgb="FF000000"/>
        </top>
      </border>
    </dxf>
    <dxf>
      <border>
        <bottom style="medium">
          <color indexed="64"/>
        </bottom>
      </border>
    </dxf>
    <dxf>
      <font>
        <b/>
        <i val="0"/>
        <strike val="0"/>
        <condense val="0"/>
        <extend val="0"/>
        <outline val="0"/>
        <shadow val="0"/>
        <u val="none"/>
        <vertAlign val="baseline"/>
        <sz val="14"/>
        <color theme="0"/>
        <name val="Calibri"/>
        <family val="2"/>
        <scheme val="minor"/>
      </font>
      <fill>
        <patternFill patternType="solid">
          <fgColor indexed="64"/>
          <bgColor rgb="FF05739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u val="none"/>
        <color theme="0"/>
      </font>
      <fill>
        <patternFill>
          <bgColor rgb="FFFF0000"/>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ont>
        <b/>
        <i val="0"/>
        <u val="none"/>
        <color theme="0"/>
      </font>
      <fill>
        <patternFill>
          <bgColor rgb="FFFF0000"/>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ont>
        <b/>
        <i val="0"/>
        <u val="none"/>
        <color theme="0"/>
      </font>
      <fill>
        <patternFill>
          <bgColor rgb="FFFF0000"/>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ont>
        <b/>
        <i val="0"/>
        <u val="none"/>
        <color theme="0"/>
      </font>
      <fill>
        <patternFill>
          <bgColor rgb="FFFF0000"/>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ont>
        <b/>
        <i val="0"/>
        <u val="none"/>
        <color theme="0"/>
      </font>
      <fill>
        <patternFill>
          <bgColor rgb="FFFF0000"/>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ont>
        <b/>
        <i val="0"/>
        <u val="none"/>
        <color theme="0"/>
      </font>
      <fill>
        <patternFill>
          <bgColor rgb="FFFF0000"/>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ont>
        <b/>
        <i val="0"/>
        <u val="none"/>
        <color theme="0"/>
      </font>
      <fill>
        <patternFill>
          <bgColor rgb="FFFF0000"/>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ont>
        <b/>
        <i val="0"/>
        <u val="none"/>
        <color theme="0"/>
      </font>
      <fill>
        <patternFill>
          <bgColor rgb="FFFF0000"/>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ont>
        <b/>
        <i val="0"/>
        <u val="none"/>
        <color theme="0"/>
      </font>
      <fill>
        <patternFill>
          <bgColor rgb="FFFF0000"/>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ont>
        <b/>
        <i val="0"/>
        <u val="none"/>
        <color theme="0"/>
      </font>
      <fill>
        <patternFill>
          <bgColor rgb="FFFF0000"/>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ont>
        <b/>
        <i val="0"/>
        <u val="none"/>
        <color theme="0"/>
      </font>
      <fill>
        <patternFill>
          <bgColor rgb="FFFF0000"/>
        </patternFill>
      </fill>
    </dxf>
    <dxf>
      <fill>
        <patternFill>
          <bgColor rgb="FFFF6D6D"/>
        </patternFill>
      </fill>
    </dxf>
    <dxf>
      <fill>
        <patternFill>
          <bgColor theme="9" tint="0.39994506668294322"/>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numFmt numFmtId="0" formatCode="General"/>
      <protection locked="0" hidden="0"/>
    </dxf>
    <dxf>
      <numFmt numFmtId="2" formatCode="0.00"/>
      <protection locked="0" hidden="0"/>
    </dxf>
    <dxf>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9"/>
        <color rgb="FF000000"/>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z val="9"/>
        <color rgb="FF000000"/>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numFmt numFmtId="0" formatCode="General"/>
      <fill>
        <patternFill patternType="none">
          <fgColor indexed="64"/>
          <bgColor auto="1"/>
        </patternFill>
      </fill>
      <protection locked="0" hidden="0"/>
    </dxf>
    <dxf>
      <font>
        <sz val="9"/>
        <color rgb="FF000000"/>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z val="9"/>
        <color rgb="FF000000"/>
        <name val="Calibri"/>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z val="9"/>
        <color rgb="FF000000"/>
        <name val="Calibri"/>
      </font>
      <numFmt numFmtId="19" formatCode="dd/mm/yyyy"/>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z val="9"/>
        <color rgb="FF000000"/>
        <name val="Calibri"/>
      </font>
      <numFmt numFmtId="19" formatCode="dd/mm/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z val="9"/>
        <color rgb="FF000000"/>
        <name val="Calibri"/>
      </font>
      <numFmt numFmtId="19" formatCode="dd/mm/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z val="9"/>
        <color rgb="FF000000"/>
        <name val="Calibri"/>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z val="9"/>
        <color rgb="FF000000"/>
        <name val="Calibri"/>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z val="9"/>
        <color rgb="FF000000"/>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z val="9"/>
        <color rgb="FF000000"/>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z val="9"/>
        <color rgb="FF000000"/>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z val="9"/>
        <color rgb="FF000000"/>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0" hidden="0"/>
    </dxf>
    <dxf>
      <font>
        <b val="0"/>
        <i val="0"/>
        <strike val="0"/>
        <outline val="0"/>
        <shadow val="0"/>
        <u val="none"/>
        <vertAlign val="baseline"/>
        <sz val="11"/>
        <color rgb="FF000000"/>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0" hidden="0"/>
    </dxf>
    <dxf>
      <font>
        <b val="0"/>
        <sz val="9"/>
        <color rgb="FF000000"/>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border>
      <protection locked="0" hidden="0"/>
    </dxf>
    <dxf>
      <font>
        <b val="0"/>
        <sz val="9"/>
        <color rgb="FF000000"/>
      </font>
      <fill>
        <patternFill patternType="none">
          <fgColor indexed="64"/>
          <bgColor auto="1"/>
        </patternFill>
      </fill>
      <alignment horizontal="left" vertical="center" textRotation="0" wrapText="0" indent="0" justifyLastLine="0" shrinkToFit="0" readingOrder="0"/>
      <border diagonalUp="0" diagonalDown="0">
        <left style="thin">
          <color indexed="64"/>
        </left>
        <right/>
        <top style="thin">
          <color indexed="64"/>
        </top>
        <bottom style="thin">
          <color indexed="64"/>
        </bottom>
      </border>
      <protection locked="0" hidden="0"/>
    </dxf>
    <dxf>
      <font>
        <sz val="9"/>
        <color rgb="FF000000"/>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top style="thin">
          <color indexed="64"/>
        </top>
        <bottom style="thin">
          <color indexed="64"/>
        </bottom>
      </border>
      <protection locked="0" hidden="0"/>
    </dxf>
    <dxf>
      <font>
        <b val="0"/>
        <sz val="9"/>
        <color rgb="FF000000"/>
      </font>
      <numFmt numFmtId="17" formatCode="#\ ?/?"/>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diagonalUp="0" diagonalDown="0">
        <left style="thin">
          <color indexed="64"/>
        </left>
        <right/>
        <top style="thin">
          <color indexed="64"/>
        </top>
        <bottom style="thin">
          <color indexed="64"/>
        </bottom>
      </border>
      <protection locked="0" hidden="0"/>
    </dxf>
    <dxf>
      <border outline="0">
        <top style="thin">
          <color indexed="64"/>
        </top>
      </border>
    </dxf>
    <dxf>
      <protection locked="0" hidden="0"/>
    </dxf>
    <dxf>
      <border outline="0">
        <bottom style="thin">
          <color indexed="64"/>
        </bottom>
      </border>
    </dxf>
    <dxf>
      <font>
        <strike val="0"/>
        <outline val="0"/>
        <shadow val="0"/>
        <u val="none"/>
        <vertAlign val="baseline"/>
        <sz val="11"/>
        <color rgb="FF000000"/>
        <name val="Calibri"/>
        <family val="2"/>
        <scheme val="minor"/>
      </font>
      <alignment textRotation="0" wrapText="1" indent="0" justifyLastLine="0" shrinkToFit="0" readingOrder="0"/>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color rgb="FF9C0006"/>
      </font>
      <fill>
        <patternFill>
          <bgColor rgb="FFFFC7CE"/>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ont>
        <b/>
        <i val="0"/>
        <u val="none"/>
        <color theme="0"/>
      </font>
      <fill>
        <patternFill>
          <bgColor rgb="FFFF0000"/>
        </patternFill>
      </fill>
    </dxf>
    <dxf>
      <fill>
        <patternFill>
          <bgColor rgb="FFFF6D6D"/>
        </patternFill>
      </fill>
    </dxf>
    <dxf>
      <fill>
        <patternFill>
          <bgColor theme="9" tint="0.39994506668294322"/>
        </patternFill>
      </fill>
    </dxf>
    <dxf>
      <fill>
        <patternFill>
          <bgColor rgb="FFFF6D6D"/>
        </patternFill>
      </fill>
    </dxf>
    <dxf>
      <fill>
        <patternFill>
          <bgColor theme="9" tint="0.39994506668294322"/>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ont>
        <b/>
        <i val="0"/>
        <u val="none"/>
        <color theme="0"/>
      </font>
      <fill>
        <patternFill>
          <bgColor rgb="FFFF0000"/>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ont>
        <b/>
        <i val="0"/>
        <u val="none"/>
        <color theme="0"/>
      </font>
      <fill>
        <patternFill>
          <bgColor rgb="FFFF0000"/>
        </patternFill>
      </fill>
    </dxf>
    <dxf>
      <fill>
        <patternFill>
          <bgColor rgb="FFFF6D6D"/>
        </patternFill>
      </fill>
    </dxf>
    <dxf>
      <fill>
        <patternFill>
          <bgColor theme="9" tint="0.39994506668294322"/>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ont>
        <b val="0"/>
        <i val="0"/>
        <strike val="0"/>
        <condense val="0"/>
        <extend val="0"/>
        <outline val="0"/>
        <shadow val="0"/>
        <u val="none"/>
        <vertAlign val="baseline"/>
        <sz val="12"/>
        <color auto="1"/>
        <name val="Neo Sans"/>
        <family val="2"/>
        <scheme val="none"/>
      </font>
      <alignment horizontal="left" vertical="center" textRotation="0" wrapText="1" indent="0" justifyLastLine="0" shrinkToFit="0" readingOrder="0"/>
    </dxf>
    <dxf>
      <font>
        <b val="0"/>
        <i val="0"/>
        <strike val="0"/>
        <condense val="0"/>
        <extend val="0"/>
        <outline val="0"/>
        <shadow val="0"/>
        <u val="none"/>
        <vertAlign val="baseline"/>
        <sz val="12"/>
        <color auto="1"/>
        <name val="Neo Sans"/>
        <family val="2"/>
        <scheme val="none"/>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Neo Sans"/>
        <family val="2"/>
        <scheme val="none"/>
      </font>
      <numFmt numFmtId="19" formatCode="dd/mm/yyyy"/>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ont>
        <b val="0"/>
        <i val="0"/>
        <strike val="0"/>
        <outline val="0"/>
        <shadow val="0"/>
        <u val="none"/>
        <vertAlign val="baseline"/>
        <sz val="12"/>
        <color auto="1"/>
        <name val="Neo Sans"/>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12"/>
        <color auto="1"/>
        <name val="Neo Sans"/>
        <family val="2"/>
        <scheme val="none"/>
      </font>
      <numFmt numFmtId="19" formatCode="dd/mm/yy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top/>
        <bottom/>
      </border>
    </dxf>
    <dxf>
      <font>
        <b val="0"/>
        <strike val="0"/>
        <outline val="0"/>
        <shadow val="0"/>
        <u val="none"/>
        <vertAlign val="baseline"/>
        <sz val="12"/>
        <color auto="1"/>
        <name val="Neo Sans"/>
        <family val="2"/>
        <scheme val="none"/>
      </font>
      <numFmt numFmtId="19" formatCode="dd/mm/yy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12"/>
        <color auto="1"/>
        <name val="Neo Sans"/>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border outline="0">
        <top style="thin">
          <color rgb="FF000000"/>
        </top>
      </border>
    </dxf>
    <dxf>
      <font>
        <strike val="0"/>
        <outline val="0"/>
        <shadow val="0"/>
        <u val="none"/>
        <vertAlign val="baseline"/>
        <sz val="12"/>
        <color auto="1"/>
        <name val="Neo Sans"/>
        <family val="2"/>
        <scheme val="none"/>
      </font>
    </dxf>
    <dxf>
      <border>
        <bottom style="medium">
          <color rgb="FF000000"/>
        </bottom>
      </border>
    </dxf>
    <dxf>
      <font>
        <b/>
        <i val="0"/>
        <strike val="0"/>
        <condense val="0"/>
        <extend val="0"/>
        <outline val="0"/>
        <shadow val="0"/>
        <u val="none"/>
        <vertAlign val="baseline"/>
        <sz val="14"/>
        <color theme="0"/>
        <name val="Calibri"/>
        <family val="2"/>
        <scheme val="minor"/>
      </font>
      <fill>
        <patternFill patternType="solid">
          <fgColor indexed="64"/>
          <bgColor rgb="FF05739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6D6D"/>
        </patternFill>
      </fill>
    </dxf>
    <dxf>
      <fill>
        <patternFill>
          <bgColor theme="9" tint="0.39994506668294322"/>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ill>
        <patternFill>
          <bgColor rgb="FFF97673"/>
        </patternFill>
      </fill>
    </dxf>
    <dxf>
      <fill>
        <patternFill>
          <bgColor rgb="FFF4B184"/>
        </patternFill>
      </fill>
    </dxf>
    <dxf>
      <fill>
        <patternFill>
          <bgColor rgb="FFF4B184"/>
        </patternFill>
      </fill>
    </dxf>
    <dxf>
      <fill>
        <patternFill>
          <bgColor rgb="FFFFFFFF"/>
        </patternFill>
      </fill>
    </dxf>
    <dxf>
      <fill>
        <patternFill>
          <bgColor rgb="FFE3F2E9"/>
        </patternFill>
      </fill>
    </dxf>
    <dxf>
      <fill>
        <patternFill>
          <bgColor rgb="FFC9E8D3"/>
        </patternFill>
      </fill>
    </dxf>
    <dxf>
      <fill>
        <patternFill>
          <bgColor rgb="FFB0DDBD"/>
        </patternFill>
      </fill>
    </dxf>
    <dxf>
      <fill>
        <patternFill>
          <bgColor rgb="FF96D3A7"/>
        </patternFill>
      </fill>
    </dxf>
    <dxf>
      <fill>
        <patternFill>
          <bgColor rgb="FF7DC991"/>
        </patternFill>
      </fill>
    </dxf>
    <dxf>
      <fill>
        <patternFill>
          <bgColor rgb="FF63BE7B"/>
        </patternFill>
      </fill>
    </dxf>
    <dxf>
      <fill>
        <patternFill>
          <bgColor rgb="FFF97673"/>
        </patternFill>
      </fill>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alignment horizontal="general" vertical="bottom" textRotation="0" wrapText="0" indent="0" justifyLastLine="0" shrinkToFit="0" readingOrder="0"/>
      <border diagonalUp="0" diagonalDown="0">
        <left/>
        <right/>
        <top style="thin">
          <color rgb="FF8EA9DB"/>
        </top>
        <bottom style="thin">
          <color rgb="FF8EA9DB"/>
        </bottom>
        <vertical/>
        <horizontal/>
      </border>
    </dxf>
    <dxf>
      <border outline="0">
        <top style="thin">
          <color rgb="FF8EA9DB"/>
        </top>
      </border>
    </dxf>
    <dxf>
      <border outline="0">
        <left style="thin">
          <color rgb="FF8EA9DB"/>
        </left>
        <right style="thin">
          <color rgb="FF8EA9DB"/>
        </right>
        <top style="thin">
          <color rgb="FF8EA9DB"/>
        </top>
        <bottom style="thin">
          <color rgb="FF8EA9DB"/>
        </bottom>
      </border>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alignment horizontal="general" vertical="bottom" textRotation="0" wrapText="0" indent="0" justifyLastLine="0" shrinkToFit="0" readingOrder="0"/>
    </dxf>
    <dxf>
      <border outline="0">
        <bottom style="thin">
          <color rgb="FF8EA9DB"/>
        </bottom>
      </border>
    </dxf>
    <dxf>
      <font>
        <b/>
        <i val="0"/>
        <strike val="0"/>
        <condense val="0"/>
        <extend val="0"/>
        <outline val="0"/>
        <shadow val="0"/>
        <u val="none"/>
        <vertAlign val="baseline"/>
        <sz val="11"/>
        <color rgb="FFFFFFFF"/>
        <name val="Calibri"/>
        <family val="2"/>
        <scheme val="none"/>
      </font>
      <fill>
        <patternFill patternType="solid">
          <fgColor rgb="FF4472C4"/>
          <bgColor rgb="FF4472C4"/>
        </patternFill>
      </fill>
      <alignment horizontal="general" vertical="bottom" textRotation="0" wrapText="0" indent="0" justifyLastLine="0" shrinkToFit="0" readingOrder="0"/>
    </dxf>
    <dxf>
      <fill>
        <patternFill patternType="solid">
          <fgColor rgb="FFD9E1F2"/>
          <bgColor rgb="FFD9E1F2"/>
        </patternFill>
      </fill>
      <alignment horizontal="general" vertical="bottom" textRotation="0" wrapText="0" indent="0" justifyLastLine="0" shrinkToFit="0" readingOrder="0"/>
      <border diagonalUp="0" diagonalDown="0">
        <left/>
        <right/>
        <top style="thin">
          <color rgb="FF8EA9DB"/>
        </top>
        <bottom style="thin">
          <color rgb="FF8EA9DB"/>
        </bottom>
        <vertical/>
        <horizontal/>
      </border>
    </dxf>
    <dxf>
      <border outline="0">
        <top style="thin">
          <color rgb="FF8EA9DB"/>
        </top>
      </border>
    </dxf>
    <dxf>
      <border outline="0">
        <left style="thin">
          <color rgb="FF8EA9DB"/>
        </left>
        <right style="thin">
          <color rgb="FF8EA9DB"/>
        </right>
        <top style="thin">
          <color rgb="FF8EA9DB"/>
        </top>
        <bottom style="thin">
          <color rgb="FF8EA9DB"/>
        </bottom>
      </border>
    </dxf>
    <dxf>
      <fill>
        <patternFill patternType="solid">
          <fgColor rgb="FFD9E1F2"/>
          <bgColor rgb="FFD9E1F2"/>
        </patternFill>
      </fill>
      <alignment horizontal="general" vertical="bottom" textRotation="0" wrapText="0" indent="0" justifyLastLine="0" shrinkToFit="0" readingOrder="0"/>
    </dxf>
    <dxf>
      <border outline="0">
        <bottom style="thin">
          <color rgb="FF8EA9DB"/>
        </bottom>
      </border>
    </dxf>
    <dxf>
      <font>
        <b/>
        <i val="0"/>
        <strike val="0"/>
        <condense val="0"/>
        <extend val="0"/>
        <outline val="0"/>
        <shadow val="0"/>
        <u val="none"/>
        <vertAlign val="baseline"/>
        <sz val="11"/>
        <color rgb="FFFFFFFF"/>
        <name val="Calibri"/>
        <family val="2"/>
        <scheme val="none"/>
      </font>
      <fill>
        <patternFill patternType="solid">
          <fgColor rgb="FF4472C4"/>
          <bgColor rgb="FF4472C4"/>
        </patternFill>
      </fill>
      <alignment horizontal="general" vertical="bottom" textRotation="0" wrapText="0" indent="0" justifyLastLine="0" shrinkToFit="0" readingOrder="0"/>
    </dxf>
    <dxf>
      <fill>
        <patternFill patternType="solid">
          <fgColor rgb="FFD9E1F2"/>
          <bgColor rgb="FFD9E1F2"/>
        </patternFill>
      </fill>
      <alignment horizontal="general" vertical="bottom" textRotation="0" wrapText="0" indent="0" justifyLastLine="0" shrinkToFit="0" readingOrder="0"/>
      <border diagonalUp="0" diagonalDown="0">
        <left/>
        <right/>
        <top style="thin">
          <color rgb="FF8EA9DB"/>
        </top>
        <bottom style="thin">
          <color rgb="FF8EA9DB"/>
        </bottom>
        <vertical/>
        <horizontal/>
      </border>
    </dxf>
    <dxf>
      <border outline="0">
        <top style="thin">
          <color rgb="FF8EA9DB"/>
        </top>
      </border>
    </dxf>
    <dxf>
      <border outline="0">
        <left style="thin">
          <color rgb="FF8EA9DB"/>
        </left>
        <right style="thin">
          <color rgb="FF8EA9DB"/>
        </right>
        <top style="thin">
          <color rgb="FF8EA9DB"/>
        </top>
        <bottom style="thin">
          <color rgb="FF8EA9DB"/>
        </bottom>
      </border>
    </dxf>
    <dxf>
      <fill>
        <patternFill patternType="solid">
          <fgColor rgb="FFD9E1F2"/>
          <bgColor rgb="FFD9E1F2"/>
        </patternFill>
      </fill>
      <alignment horizontal="general" vertical="bottom" textRotation="0" wrapText="0" indent="0" justifyLastLine="0" shrinkToFit="0" readingOrder="0"/>
    </dxf>
    <dxf>
      <border outline="0">
        <bottom style="thin">
          <color rgb="FF8EA9DB"/>
        </bottom>
      </border>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alignment horizontal="general"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alignment horizontal="general" vertical="bottom" textRotation="0" wrapText="0" indent="0" justifyLastLine="0" shrinkToFit="0" readingOrder="0"/>
      <border diagonalUp="0" diagonalDown="0">
        <left/>
        <right/>
        <top style="thin">
          <color rgb="FF8EA9DB"/>
        </top>
        <bottom style="thin">
          <color rgb="FF8EA9DB"/>
        </bottom>
        <vertical/>
        <horizontal/>
      </border>
    </dxf>
    <dxf>
      <border outline="0">
        <top style="thin">
          <color rgb="FF8EA9DB"/>
        </top>
      </border>
    </dxf>
    <dxf>
      <border outline="0">
        <left style="thin">
          <color rgb="FF8EA9DB"/>
        </left>
        <right style="thin">
          <color rgb="FF8EA9DB"/>
        </right>
        <top style="thin">
          <color rgb="FF8EA9DB"/>
        </top>
        <bottom style="thin">
          <color rgb="FF8EA9DB"/>
        </bottom>
      </border>
    </dxf>
    <dxf>
      <font>
        <b val="0"/>
        <i val="0"/>
        <strike val="0"/>
        <condense val="0"/>
        <extend val="0"/>
        <outline val="0"/>
        <shadow val="0"/>
        <u val="none"/>
        <vertAlign val="baseline"/>
        <sz val="11"/>
        <color rgb="FF000000"/>
        <name val="Calibri"/>
        <family val="2"/>
        <scheme val="none"/>
      </font>
      <fill>
        <patternFill patternType="solid">
          <fgColor rgb="FFD9E1F2"/>
          <bgColor rgb="FFD9E1F2"/>
        </patternFill>
      </fill>
      <alignment horizontal="general" vertical="bottom" textRotation="0" wrapText="0" indent="0" justifyLastLine="0" shrinkToFit="0" readingOrder="0"/>
    </dxf>
    <dxf>
      <border outline="0">
        <bottom style="thin">
          <color rgb="FF8EA9DB"/>
        </bottom>
      </border>
    </dxf>
    <dxf>
      <font>
        <b/>
        <i val="0"/>
        <strike val="0"/>
        <condense val="0"/>
        <extend val="0"/>
        <outline val="0"/>
        <shadow val="0"/>
        <u val="none"/>
        <vertAlign val="baseline"/>
        <sz val="11"/>
        <color rgb="FFFFFFFF"/>
        <name val="Calibri"/>
        <family val="2"/>
        <scheme val="none"/>
      </font>
      <fill>
        <patternFill patternType="solid">
          <fgColor rgb="FF4472C4"/>
          <bgColor rgb="FF4472C4"/>
        </patternFill>
      </fill>
      <alignment horizontal="general" vertical="bottom" textRotation="0" wrapText="0" indent="0" justifyLastLine="0" shrinkToFit="0" readingOrder="0"/>
    </dxf>
    <dxf>
      <font>
        <b val="0"/>
        <i val="0"/>
        <strike val="0"/>
        <condense val="0"/>
        <extend val="0"/>
        <outline val="0"/>
        <shadow val="0"/>
        <u val="none"/>
        <vertAlign val="baseline"/>
        <sz val="16"/>
        <color auto="1"/>
        <name val="Neo Sans"/>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numFmt numFmtId="0" formatCode="General"/>
      <alignment horizontal="center" vertical="center" textRotation="0" wrapText="1"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1"/>
        <color auto="1"/>
        <name val="Calibri"/>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6"/>
        <color auto="1"/>
        <name val="Neo Sans"/>
        <scheme val="none"/>
      </font>
      <alignment horizontal="left" vertical="center" textRotation="0" wrapText="1"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6"/>
        <color auto="1"/>
        <name val="Neo Sans"/>
        <scheme val="none"/>
      </font>
      <numFmt numFmtId="19" formatCode="dd/mm/yyyy"/>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6"/>
        <color auto="1"/>
        <name val="Neo Sans"/>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6"/>
        <color auto="1"/>
        <name val="Neo Sans"/>
        <scheme val="none"/>
      </font>
      <numFmt numFmtId="19" formatCode="dd/mm/yyyy"/>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1"/>
        <color auto="1"/>
        <name val="Neo San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1"/>
        <color auto="1"/>
        <name val="Neo Sans"/>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bottom style="thin">
          <color rgb="FF000000"/>
        </bottom>
      </border>
    </dxf>
    <dxf>
      <font>
        <b val="0"/>
        <i val="0"/>
        <strike val="0"/>
        <condense val="0"/>
        <extend val="0"/>
        <outline val="0"/>
        <shadow val="0"/>
        <u val="none"/>
        <vertAlign val="baseline"/>
        <sz val="11"/>
        <color auto="1"/>
        <name val="Calibri"/>
        <family val="2"/>
        <scheme val="none"/>
      </font>
      <alignment horizontal="center" vertical="center" textRotation="0" wrapText="1" indent="0" justifyLastLine="0" shrinkToFit="0" readingOrder="0"/>
    </dxf>
    <dxf>
      <border outline="0">
        <bottom style="thin">
          <color rgb="FFFFFFFF"/>
        </bottom>
      </border>
    </dxf>
    <dxf>
      <font>
        <b val="0"/>
        <i val="0"/>
        <strike val="0"/>
        <condense val="0"/>
        <extend val="0"/>
        <outline val="0"/>
        <shadow val="0"/>
        <u val="none"/>
        <vertAlign val="baseline"/>
        <sz val="11"/>
        <color rgb="FFFFFFFF"/>
        <name val="Neo Sans"/>
        <family val="2"/>
        <scheme val="none"/>
      </font>
      <fill>
        <patternFill patternType="solid">
          <fgColor rgb="FF000000"/>
          <bgColor rgb="FF004254"/>
        </patternFill>
      </fill>
      <alignment horizontal="general" vertical="center" textRotation="0" wrapText="1"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font>
        <b val="0"/>
        <i val="0"/>
        <strike val="0"/>
        <condense val="0"/>
        <extend val="0"/>
        <outline val="0"/>
        <shadow val="0"/>
        <u val="none"/>
        <vertAlign val="baseline"/>
        <sz val="9"/>
        <color rgb="FF000000"/>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9"/>
        <color rgb="FF000000"/>
      </font>
      <numFmt numFmtId="0" formatCode="General"/>
      <fill>
        <patternFill patternType="solid">
          <fgColor rgb="FF000000"/>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dxf>
    <dxf>
      <font>
        <sz val="9"/>
        <color rgb="FF000000"/>
      </font>
      <fill>
        <patternFill patternType="solid">
          <fgColor rgb="FF000000"/>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9"/>
        <color rgb="FF000000"/>
        <name val="Calibri"/>
      </font>
      <numFmt numFmtId="0" formatCode="General"/>
      <fill>
        <patternFill patternType="solid">
          <fgColor rgb="FF000000"/>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z val="9"/>
        <color rgb="FF000000"/>
        <name val="Calibri"/>
      </font>
      <numFmt numFmtId="19" formatCode="dd/mm/yyyy"/>
      <fill>
        <patternFill patternType="solid">
          <fgColor rgb="FF000000"/>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9"/>
        <color rgb="FF000000"/>
        <name val="Calibri"/>
      </font>
      <numFmt numFmtId="19" formatCode="dd/mm/yyyy"/>
      <fill>
        <patternFill patternType="solid">
          <fgColor rgb="FF000000"/>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z val="9"/>
        <color rgb="FF000000"/>
        <name val="Calibri"/>
      </font>
      <numFmt numFmtId="19" formatCode="dd/mm/yyyy"/>
      <fill>
        <patternFill patternType="solid">
          <fgColor rgb="FF000000"/>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z val="9"/>
        <color rgb="FF000000"/>
        <name val="Calibri"/>
      </font>
      <fill>
        <patternFill patternType="solid">
          <fgColor rgb="FF000000"/>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sz val="9"/>
        <color rgb="FF000000"/>
        <name val="Calibri"/>
      </font>
      <fill>
        <patternFill patternType="solid">
          <fgColor rgb="FF000000"/>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z val="9"/>
        <color rgb="FF000000"/>
      </font>
      <fill>
        <patternFill patternType="solid">
          <fgColor rgb="FF000000"/>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z val="9"/>
        <color rgb="FF000000"/>
      </font>
      <fill>
        <patternFill patternType="solid">
          <fgColor rgb="FF000000"/>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z val="9"/>
        <color rgb="FF000000"/>
      </font>
      <numFmt numFmtId="0" formatCode="General"/>
      <fill>
        <patternFill patternType="solid">
          <fgColor rgb="FF000000"/>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sz val="9"/>
        <color rgb="FF000000"/>
      </font>
      <fill>
        <patternFill patternType="solid">
          <fgColor rgb="FF000000"/>
          <bgColor theme="0"/>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outline val="0"/>
        <shadow val="0"/>
        <u val="none"/>
        <vertAlign val="baseline"/>
        <sz val="11"/>
        <color rgb="FF000000"/>
      </font>
      <fill>
        <patternFill patternType="solid">
          <fgColor rgb="FF000000"/>
          <bgColor theme="0"/>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sz val="9"/>
        <color rgb="FF000000"/>
      </font>
      <fill>
        <patternFill patternType="solid">
          <fgColor rgb="FF000000"/>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sz val="9"/>
        <color rgb="FF000000"/>
      </font>
      <fill>
        <patternFill patternType="solid">
          <fgColor theme="4" tint="0.79998168889431442"/>
          <bgColor theme="0"/>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sz val="9"/>
        <color rgb="FF000000"/>
      </font>
      <numFmt numFmtId="0" formatCode="General"/>
      <fill>
        <patternFill patternType="solid">
          <fgColor rgb="FF000000"/>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sz val="9"/>
        <color rgb="FF000000"/>
      </font>
      <numFmt numFmtId="17" formatCode="#\ ?/?"/>
      <fill>
        <patternFill patternType="solid">
          <fgColor theme="4" tint="0.79998168889431442"/>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top style="thin">
          <color indexed="64"/>
        </top>
        <bottom style="thin">
          <color indexed="64"/>
        </bottom>
      </border>
    </dxf>
    <dxf>
      <border outline="0">
        <top style="thin">
          <color rgb="FF000000"/>
        </top>
      </border>
    </dxf>
    <dxf>
      <border outline="0">
        <bottom style="thin">
          <color rgb="FF000000"/>
        </bottom>
      </border>
    </dxf>
    <dxf>
      <font>
        <strike val="0"/>
        <outline val="0"/>
        <shadow val="0"/>
        <u val="none"/>
        <vertAlign val="baseline"/>
        <sz val="11"/>
        <color rgb="FF000000"/>
        <name val="Calibri"/>
        <family val="2"/>
        <scheme val="minor"/>
      </font>
    </dxf>
    <dxf>
      <font>
        <strike val="0"/>
        <outline val="0"/>
        <shadow val="0"/>
        <u val="none"/>
        <vertAlign val="baseline"/>
        <sz val="11"/>
        <color rgb="FF000000"/>
      </font>
      <fill>
        <patternFill patternType="solid">
          <fgColor indexed="64"/>
          <bgColor theme="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rgb="FF000000"/>
      </font>
      <numFmt numFmtId="19" formatCode="dd/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rgb="FF000000"/>
      </font>
      <numFmt numFmtId="19" formatCode="dd/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rgb="FF000000"/>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000000"/>
        <name val="Calibri"/>
        <family val="2"/>
        <scheme val="minor"/>
      </font>
      <fill>
        <patternFill patternType="solid">
          <fgColor rgb="FF000000"/>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rgb="FF000000"/>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rgb="FF000000"/>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000000"/>
      </font>
      <fill>
        <patternFill patternType="solid">
          <fgColor rgb="FF000000"/>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000000"/>
        <name val="Calibri"/>
        <family val="2"/>
        <scheme val="minor"/>
      </font>
      <fill>
        <patternFill patternType="solid">
          <fgColor rgb="FF000000"/>
          <bgColor theme="0"/>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fill>
        <patternFill patternType="solid">
          <fgColor rgb="FF000000"/>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000000"/>
        <name val="Calibri"/>
        <family val="2"/>
        <scheme val="minor"/>
      </font>
      <numFmt numFmtId="17" formatCode="#\ ?/?"/>
      <fill>
        <patternFill patternType="solid">
          <fgColor theme="4" tint="0.79998168889431442"/>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rgb="FF000000"/>
        <name val="Calibri"/>
        <family val="2"/>
        <scheme val="minor"/>
      </font>
      <numFmt numFmtId="17" formatCode="#\ ?/?"/>
      <fill>
        <patternFill patternType="solid">
          <fgColor theme="4" tint="0.79998168889431442"/>
          <bgColor theme="0"/>
        </patternFill>
      </fill>
      <alignment horizontal="center" vertical="center" textRotation="0" wrapText="1" indent="0" justifyLastLine="0" shrinkToFit="0" readingOrder="0"/>
      <border diagonalUp="0" diagonalDown="0" outline="0">
        <left style="thin">
          <color rgb="FF000000"/>
        </left>
        <right style="thin">
          <color indexed="64"/>
        </right>
        <top style="thin">
          <color indexed="64"/>
        </top>
        <bottom style="thin">
          <color indexed="64"/>
        </bottom>
      </border>
    </dxf>
    <dxf>
      <font>
        <strike val="0"/>
        <outline val="0"/>
        <shadow val="0"/>
        <u val="none"/>
        <vertAlign val="baseline"/>
        <sz val="11"/>
        <color rgb="FF000000"/>
        <name val="Segoe UI"/>
        <family val="2"/>
        <scheme val="none"/>
      </font>
      <numFmt numFmtId="17" formatCode="#\ ?/?"/>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17" formatCode="#\ ?/?"/>
    </dxf>
    <dxf>
      <font>
        <strike val="0"/>
        <outline val="0"/>
        <shadow val="0"/>
        <u val="none"/>
        <vertAlign val="baseline"/>
        <sz val="11"/>
        <color rgb="FF000000"/>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rgb="FF000000"/>
        </right>
        <top style="thin">
          <color indexed="64"/>
        </top>
        <bottom style="thin">
          <color indexed="64"/>
        </bottom>
      </border>
    </dxf>
    <dxf>
      <border outline="0">
        <top style="thin">
          <color rgb="FF000000"/>
        </top>
      </border>
    </dxf>
    <dxf>
      <font>
        <strike val="0"/>
        <outline val="0"/>
        <shadow val="0"/>
        <u val="none"/>
        <vertAlign val="baseline"/>
        <sz val="11"/>
        <color rgb="FF000000"/>
      </font>
      <fill>
        <patternFill patternType="solid">
          <fgColor rgb="FF000000"/>
          <bgColor rgb="FFFFFFFF"/>
        </patternFill>
      </fill>
      <alignment horizontal="center" vertical="center" textRotation="0" wrapText="0" indent="0" justifyLastLine="0" shrinkToFit="0" readingOrder="0"/>
    </dxf>
    <dxf>
      <border outline="0">
        <bottom style="thin">
          <color rgb="FF000000"/>
        </bottom>
      </border>
    </dxf>
    <dxf>
      <font>
        <strike val="0"/>
        <outline val="0"/>
        <shadow val="0"/>
        <u val="none"/>
        <vertAlign val="baseline"/>
        <sz val="11"/>
        <color rgb="FF000000"/>
        <name val="Calibri"/>
        <family val="2"/>
        <scheme val="minor"/>
      </font>
      <alignment textRotation="0" wrapText="1" indent="0" justifyLastLine="0" shrinkToFit="0" readingOrder="0"/>
    </dxf>
    <dxf>
      <font>
        <color rgb="FF9C0006"/>
      </font>
      <fill>
        <patternFill>
          <bgColor rgb="FFFFC7CE"/>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
      <fill>
        <patternFill>
          <bgColor rgb="FFFF6D6D"/>
        </patternFill>
      </fill>
    </dxf>
    <dxf>
      <fill>
        <patternFill>
          <bgColor theme="9" tint="0.39994506668294322"/>
        </patternFill>
      </fill>
    </dxf>
    <dxf>
      <fill>
        <patternFill>
          <bgColor theme="0" tint="-0.14996795556505021"/>
        </patternFill>
      </fill>
    </dxf>
    <dxf>
      <fill>
        <patternFill>
          <bgColor theme="7" tint="0.79998168889431442"/>
        </patternFill>
      </fill>
    </dxf>
    <dxf>
      <fill>
        <patternFill>
          <bgColor rgb="FFFF6D6D"/>
        </patternFill>
      </fill>
    </dxf>
    <dxf>
      <fill>
        <patternFill>
          <bgColor rgb="FF92D050"/>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rgb="FFFF6D6D"/>
        </patternFill>
      </fill>
    </dxf>
  </dxfs>
  <tableStyles count="0" defaultTableStyle="TableStyleMedium2" defaultPivotStyle="PivotStyleLight16"/>
  <colors>
    <mruColors>
      <color rgb="FF83C937"/>
      <color rgb="FFFF8F8F"/>
      <color rgb="FF057390"/>
      <color rgb="FF004254"/>
      <color rgb="FFA365D1"/>
      <color rgb="FFFF9933"/>
      <color rgb="FFFF3399"/>
      <color rgb="FFFF00FF"/>
      <color rgb="FFCFE18B"/>
      <color rgb="FF00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0"/>
          <c:order val="0"/>
          <c:tx>
            <c:strRef>
              <c:f>Historico!$A$3</c:f>
              <c:strCache>
                <c:ptCount val="1"/>
                <c:pt idx="0">
                  <c:v>Ingenieria</c:v>
                </c:pt>
              </c:strCache>
            </c:strRef>
          </c:tx>
          <c:spPr>
            <a:solidFill>
              <a:schemeClr val="accent1"/>
            </a:solidFill>
            <a:ln>
              <a:noFill/>
            </a:ln>
            <a:effectLst/>
          </c:spPr>
          <c:cat>
            <c:numRef>
              <c:f>Historico!$B$2:$AD$2</c:f>
              <c:numCache>
                <c:formatCode>m/d/yyyy</c:formatCode>
                <c:ptCount val="29"/>
                <c:pt idx="0">
                  <c:v>45572</c:v>
                </c:pt>
                <c:pt idx="1">
                  <c:v>45579</c:v>
                </c:pt>
                <c:pt idx="2">
                  <c:v>45586</c:v>
                </c:pt>
                <c:pt idx="3">
                  <c:v>45593</c:v>
                </c:pt>
                <c:pt idx="4">
                  <c:v>45600</c:v>
                </c:pt>
                <c:pt idx="5">
                  <c:v>45607</c:v>
                </c:pt>
                <c:pt idx="6">
                  <c:v>45618</c:v>
                </c:pt>
                <c:pt idx="7">
                  <c:v>45622</c:v>
                </c:pt>
                <c:pt idx="8">
                  <c:v>45624</c:v>
                </c:pt>
                <c:pt idx="9">
                  <c:v>45625</c:v>
                </c:pt>
                <c:pt idx="10">
                  <c:v>45628</c:v>
                </c:pt>
                <c:pt idx="11">
                  <c:v>45629</c:v>
                </c:pt>
                <c:pt idx="12">
                  <c:v>45639</c:v>
                </c:pt>
                <c:pt idx="13">
                  <c:v>45666</c:v>
                </c:pt>
                <c:pt idx="14">
                  <c:v>45680</c:v>
                </c:pt>
                <c:pt idx="15">
                  <c:v>45694</c:v>
                </c:pt>
                <c:pt idx="16">
                  <c:v>45703</c:v>
                </c:pt>
                <c:pt idx="17">
                  <c:v>45714</c:v>
                </c:pt>
                <c:pt idx="18">
                  <c:v>45721</c:v>
                </c:pt>
                <c:pt idx="19">
                  <c:v>45722</c:v>
                </c:pt>
                <c:pt idx="20">
                  <c:v>45730</c:v>
                </c:pt>
                <c:pt idx="21">
                  <c:v>45744</c:v>
                </c:pt>
                <c:pt idx="22">
                  <c:v>45747</c:v>
                </c:pt>
                <c:pt idx="23">
                  <c:v>45768</c:v>
                </c:pt>
                <c:pt idx="24">
                  <c:v>45777</c:v>
                </c:pt>
                <c:pt idx="25">
                  <c:v>45803</c:v>
                </c:pt>
                <c:pt idx="26">
                  <c:v>45831</c:v>
                </c:pt>
                <c:pt idx="27">
                  <c:v>45846</c:v>
                </c:pt>
                <c:pt idx="28">
                  <c:v>45869</c:v>
                </c:pt>
              </c:numCache>
            </c:numRef>
          </c:cat>
          <c:val>
            <c:numRef>
              <c:f>Historico!$B$3:$AD$3</c:f>
              <c:numCache>
                <c:formatCode>General</c:formatCode>
                <c:ptCount val="29"/>
                <c:pt idx="0">
                  <c:v>184</c:v>
                </c:pt>
                <c:pt idx="1">
                  <c:v>198</c:v>
                </c:pt>
                <c:pt idx="2">
                  <c:v>211</c:v>
                </c:pt>
                <c:pt idx="3">
                  <c:v>202</c:v>
                </c:pt>
                <c:pt idx="4">
                  <c:v>252</c:v>
                </c:pt>
                <c:pt idx="5">
                  <c:v>219</c:v>
                </c:pt>
                <c:pt idx="6">
                  <c:v>225</c:v>
                </c:pt>
                <c:pt idx="7">
                  <c:v>166</c:v>
                </c:pt>
                <c:pt idx="8">
                  <c:v>134</c:v>
                </c:pt>
                <c:pt idx="9">
                  <c:v>134</c:v>
                </c:pt>
                <c:pt idx="10">
                  <c:v>127</c:v>
                </c:pt>
                <c:pt idx="11">
                  <c:v>127</c:v>
                </c:pt>
                <c:pt idx="12">
                  <c:v>98</c:v>
                </c:pt>
                <c:pt idx="13">
                  <c:v>41</c:v>
                </c:pt>
                <c:pt idx="14">
                  <c:v>31</c:v>
                </c:pt>
                <c:pt idx="15">
                  <c:v>52</c:v>
                </c:pt>
                <c:pt idx="16">
                  <c:v>59</c:v>
                </c:pt>
                <c:pt idx="17">
                  <c:v>35</c:v>
                </c:pt>
                <c:pt idx="18">
                  <c:v>22</c:v>
                </c:pt>
                <c:pt idx="19">
                  <c:v>22</c:v>
                </c:pt>
                <c:pt idx="20">
                  <c:v>21</c:v>
                </c:pt>
                <c:pt idx="21">
                  <c:v>17</c:v>
                </c:pt>
                <c:pt idx="22">
                  <c:v>15</c:v>
                </c:pt>
                <c:pt idx="23">
                  <c:v>16</c:v>
                </c:pt>
                <c:pt idx="24">
                  <c:v>11</c:v>
                </c:pt>
                <c:pt idx="25">
                  <c:v>9</c:v>
                </c:pt>
                <c:pt idx="26">
                  <c:v>12</c:v>
                </c:pt>
                <c:pt idx="27">
                  <c:v>9</c:v>
                </c:pt>
                <c:pt idx="28">
                  <c:v>3</c:v>
                </c:pt>
              </c:numCache>
            </c:numRef>
          </c:val>
          <c:extLst>
            <c:ext xmlns:c16="http://schemas.microsoft.com/office/drawing/2014/chart" uri="{C3380CC4-5D6E-409C-BE32-E72D297353CC}">
              <c16:uniqueId val="{00000000-1796-463D-B006-78B7487E9281}"/>
            </c:ext>
          </c:extLst>
        </c:ser>
        <c:ser>
          <c:idx val="1"/>
          <c:order val="1"/>
          <c:tx>
            <c:strRef>
              <c:f>Historico!$A$4</c:f>
              <c:strCache>
                <c:ptCount val="1"/>
                <c:pt idx="0">
                  <c:v>Planificación</c:v>
                </c:pt>
              </c:strCache>
            </c:strRef>
          </c:tx>
          <c:spPr>
            <a:solidFill>
              <a:schemeClr val="accent2"/>
            </a:solidFill>
            <a:ln>
              <a:noFill/>
            </a:ln>
            <a:effectLst/>
          </c:spPr>
          <c:cat>
            <c:numRef>
              <c:f>Historico!$B$2:$AD$2</c:f>
              <c:numCache>
                <c:formatCode>m/d/yyyy</c:formatCode>
                <c:ptCount val="29"/>
                <c:pt idx="0">
                  <c:v>45572</c:v>
                </c:pt>
                <c:pt idx="1">
                  <c:v>45579</c:v>
                </c:pt>
                <c:pt idx="2">
                  <c:v>45586</c:v>
                </c:pt>
                <c:pt idx="3">
                  <c:v>45593</c:v>
                </c:pt>
                <c:pt idx="4">
                  <c:v>45600</c:v>
                </c:pt>
                <c:pt idx="5">
                  <c:v>45607</c:v>
                </c:pt>
                <c:pt idx="6">
                  <c:v>45618</c:v>
                </c:pt>
                <c:pt idx="7">
                  <c:v>45622</c:v>
                </c:pt>
                <c:pt idx="8">
                  <c:v>45624</c:v>
                </c:pt>
                <c:pt idx="9">
                  <c:v>45625</c:v>
                </c:pt>
                <c:pt idx="10">
                  <c:v>45628</c:v>
                </c:pt>
                <c:pt idx="11">
                  <c:v>45629</c:v>
                </c:pt>
                <c:pt idx="12">
                  <c:v>45639</c:v>
                </c:pt>
                <c:pt idx="13">
                  <c:v>45666</c:v>
                </c:pt>
                <c:pt idx="14">
                  <c:v>45680</c:v>
                </c:pt>
                <c:pt idx="15">
                  <c:v>45694</c:v>
                </c:pt>
                <c:pt idx="16">
                  <c:v>45703</c:v>
                </c:pt>
                <c:pt idx="17">
                  <c:v>45714</c:v>
                </c:pt>
                <c:pt idx="18">
                  <c:v>45721</c:v>
                </c:pt>
                <c:pt idx="19">
                  <c:v>45722</c:v>
                </c:pt>
                <c:pt idx="20">
                  <c:v>45730</c:v>
                </c:pt>
                <c:pt idx="21">
                  <c:v>45744</c:v>
                </c:pt>
                <c:pt idx="22">
                  <c:v>45747</c:v>
                </c:pt>
                <c:pt idx="23">
                  <c:v>45768</c:v>
                </c:pt>
                <c:pt idx="24">
                  <c:v>45777</c:v>
                </c:pt>
                <c:pt idx="25">
                  <c:v>45803</c:v>
                </c:pt>
                <c:pt idx="26">
                  <c:v>45831</c:v>
                </c:pt>
                <c:pt idx="27">
                  <c:v>45846</c:v>
                </c:pt>
                <c:pt idx="28">
                  <c:v>45869</c:v>
                </c:pt>
              </c:numCache>
            </c:numRef>
          </c:cat>
          <c:val>
            <c:numRef>
              <c:f>Historico!$B$4:$AD$4</c:f>
              <c:numCache>
                <c:formatCode>General</c:formatCode>
                <c:ptCount val="29"/>
                <c:pt idx="0">
                  <c:v>0</c:v>
                </c:pt>
                <c:pt idx="1">
                  <c:v>0</c:v>
                </c:pt>
                <c:pt idx="2">
                  <c:v>0</c:v>
                </c:pt>
                <c:pt idx="3">
                  <c:v>0</c:v>
                </c:pt>
                <c:pt idx="4">
                  <c:v>0</c:v>
                </c:pt>
                <c:pt idx="5">
                  <c:v>0</c:v>
                </c:pt>
                <c:pt idx="6">
                  <c:v>0</c:v>
                </c:pt>
                <c:pt idx="7">
                  <c:v>0</c:v>
                </c:pt>
                <c:pt idx="8">
                  <c:v>24</c:v>
                </c:pt>
                <c:pt idx="9">
                  <c:v>24</c:v>
                </c:pt>
                <c:pt idx="10">
                  <c:v>30</c:v>
                </c:pt>
                <c:pt idx="11">
                  <c:v>30</c:v>
                </c:pt>
                <c:pt idx="12">
                  <c:v>0</c:v>
                </c:pt>
                <c:pt idx="13">
                  <c:v>0</c:v>
                </c:pt>
                <c:pt idx="14">
                  <c:v>1</c:v>
                </c:pt>
                <c:pt idx="15">
                  <c:v>0</c:v>
                </c:pt>
                <c:pt idx="16">
                  <c:v>0</c:v>
                </c:pt>
                <c:pt idx="17">
                  <c:v>0</c:v>
                </c:pt>
                <c:pt idx="18">
                  <c:v>0</c:v>
                </c:pt>
                <c:pt idx="19">
                  <c:v>0</c:v>
                </c:pt>
                <c:pt idx="20">
                  <c:v>0</c:v>
                </c:pt>
                <c:pt idx="21">
                  <c:v>1</c:v>
                </c:pt>
                <c:pt idx="22">
                  <c:v>1</c:v>
                </c:pt>
                <c:pt idx="23">
                  <c:v>0</c:v>
                </c:pt>
                <c:pt idx="24">
                  <c:v>0</c:v>
                </c:pt>
                <c:pt idx="25">
                  <c:v>0</c:v>
                </c:pt>
                <c:pt idx="26">
                  <c:v>0</c:v>
                </c:pt>
                <c:pt idx="27">
                  <c:v>0</c:v>
                </c:pt>
                <c:pt idx="28">
                  <c:v>0</c:v>
                </c:pt>
              </c:numCache>
            </c:numRef>
          </c:val>
          <c:extLst>
            <c:ext xmlns:c16="http://schemas.microsoft.com/office/drawing/2014/chart" uri="{C3380CC4-5D6E-409C-BE32-E72D297353CC}">
              <c16:uniqueId val="{00000001-1796-463D-B006-78B7487E9281}"/>
            </c:ext>
          </c:extLst>
        </c:ser>
        <c:ser>
          <c:idx val="2"/>
          <c:order val="2"/>
          <c:tx>
            <c:strRef>
              <c:f>Historico!$A$5</c:f>
              <c:strCache>
                <c:ptCount val="1"/>
                <c:pt idx="0">
                  <c:v>Control Producción</c:v>
                </c:pt>
              </c:strCache>
            </c:strRef>
          </c:tx>
          <c:spPr>
            <a:solidFill>
              <a:schemeClr val="accent3"/>
            </a:solidFill>
            <a:ln>
              <a:noFill/>
            </a:ln>
            <a:effectLst/>
          </c:spPr>
          <c:cat>
            <c:numRef>
              <c:f>Historico!$B$2:$AD$2</c:f>
              <c:numCache>
                <c:formatCode>m/d/yyyy</c:formatCode>
                <c:ptCount val="29"/>
                <c:pt idx="0">
                  <c:v>45572</c:v>
                </c:pt>
                <c:pt idx="1">
                  <c:v>45579</c:v>
                </c:pt>
                <c:pt idx="2">
                  <c:v>45586</c:v>
                </c:pt>
                <c:pt idx="3">
                  <c:v>45593</c:v>
                </c:pt>
                <c:pt idx="4">
                  <c:v>45600</c:v>
                </c:pt>
                <c:pt idx="5">
                  <c:v>45607</c:v>
                </c:pt>
                <c:pt idx="6">
                  <c:v>45618</c:v>
                </c:pt>
                <c:pt idx="7">
                  <c:v>45622</c:v>
                </c:pt>
                <c:pt idx="8">
                  <c:v>45624</c:v>
                </c:pt>
                <c:pt idx="9">
                  <c:v>45625</c:v>
                </c:pt>
                <c:pt idx="10">
                  <c:v>45628</c:v>
                </c:pt>
                <c:pt idx="11">
                  <c:v>45629</c:v>
                </c:pt>
                <c:pt idx="12">
                  <c:v>45639</c:v>
                </c:pt>
                <c:pt idx="13">
                  <c:v>45666</c:v>
                </c:pt>
                <c:pt idx="14">
                  <c:v>45680</c:v>
                </c:pt>
                <c:pt idx="15">
                  <c:v>45694</c:v>
                </c:pt>
                <c:pt idx="16">
                  <c:v>45703</c:v>
                </c:pt>
                <c:pt idx="17">
                  <c:v>45714</c:v>
                </c:pt>
                <c:pt idx="18">
                  <c:v>45721</c:v>
                </c:pt>
                <c:pt idx="19">
                  <c:v>45722</c:v>
                </c:pt>
                <c:pt idx="20">
                  <c:v>45730</c:v>
                </c:pt>
                <c:pt idx="21">
                  <c:v>45744</c:v>
                </c:pt>
                <c:pt idx="22">
                  <c:v>45747</c:v>
                </c:pt>
                <c:pt idx="23">
                  <c:v>45768</c:v>
                </c:pt>
                <c:pt idx="24">
                  <c:v>45777</c:v>
                </c:pt>
                <c:pt idx="25">
                  <c:v>45803</c:v>
                </c:pt>
                <c:pt idx="26">
                  <c:v>45831</c:v>
                </c:pt>
                <c:pt idx="27">
                  <c:v>45846</c:v>
                </c:pt>
                <c:pt idx="28">
                  <c:v>45869</c:v>
                </c:pt>
              </c:numCache>
            </c:numRef>
          </c:cat>
          <c:val>
            <c:numRef>
              <c:f>Historico!$B$5:$AD$5</c:f>
              <c:numCache>
                <c:formatCode>General</c:formatCode>
                <c:ptCount val="29"/>
                <c:pt idx="0">
                  <c:v>31</c:v>
                </c:pt>
                <c:pt idx="1">
                  <c:v>17</c:v>
                </c:pt>
                <c:pt idx="2">
                  <c:v>18</c:v>
                </c:pt>
                <c:pt idx="3">
                  <c:v>25</c:v>
                </c:pt>
                <c:pt idx="4">
                  <c:v>27</c:v>
                </c:pt>
                <c:pt idx="5">
                  <c:v>56</c:v>
                </c:pt>
                <c:pt idx="6">
                  <c:v>77</c:v>
                </c:pt>
                <c:pt idx="7">
                  <c:v>124.00000000000001</c:v>
                </c:pt>
                <c:pt idx="8">
                  <c:v>99</c:v>
                </c:pt>
                <c:pt idx="9">
                  <c:v>83</c:v>
                </c:pt>
                <c:pt idx="10">
                  <c:v>84</c:v>
                </c:pt>
                <c:pt idx="11">
                  <c:v>73</c:v>
                </c:pt>
                <c:pt idx="12">
                  <c:v>58</c:v>
                </c:pt>
                <c:pt idx="13">
                  <c:v>95</c:v>
                </c:pt>
                <c:pt idx="14">
                  <c:v>45</c:v>
                </c:pt>
                <c:pt idx="15">
                  <c:v>25</c:v>
                </c:pt>
                <c:pt idx="16">
                  <c:v>32</c:v>
                </c:pt>
                <c:pt idx="17">
                  <c:v>28</c:v>
                </c:pt>
                <c:pt idx="18">
                  <c:v>25</c:v>
                </c:pt>
                <c:pt idx="19">
                  <c:v>25</c:v>
                </c:pt>
                <c:pt idx="20">
                  <c:v>16</c:v>
                </c:pt>
                <c:pt idx="21">
                  <c:v>16</c:v>
                </c:pt>
                <c:pt idx="22">
                  <c:v>14</c:v>
                </c:pt>
                <c:pt idx="23">
                  <c:v>12</c:v>
                </c:pt>
                <c:pt idx="24">
                  <c:v>5</c:v>
                </c:pt>
                <c:pt idx="25">
                  <c:v>4</c:v>
                </c:pt>
                <c:pt idx="26">
                  <c:v>0</c:v>
                </c:pt>
                <c:pt idx="27">
                  <c:v>1</c:v>
                </c:pt>
                <c:pt idx="28">
                  <c:v>2</c:v>
                </c:pt>
              </c:numCache>
            </c:numRef>
          </c:val>
          <c:extLst>
            <c:ext xmlns:c16="http://schemas.microsoft.com/office/drawing/2014/chart" uri="{C3380CC4-5D6E-409C-BE32-E72D297353CC}">
              <c16:uniqueId val="{00000002-1796-463D-B006-78B7487E9281}"/>
            </c:ext>
          </c:extLst>
        </c:ser>
        <c:ser>
          <c:idx val="3"/>
          <c:order val="3"/>
          <c:tx>
            <c:strRef>
              <c:f>Historico!$A$6</c:f>
              <c:strCache>
                <c:ptCount val="1"/>
                <c:pt idx="0">
                  <c:v>Producción</c:v>
                </c:pt>
              </c:strCache>
            </c:strRef>
          </c:tx>
          <c:spPr>
            <a:solidFill>
              <a:schemeClr val="accent4"/>
            </a:solidFill>
            <a:ln>
              <a:noFill/>
            </a:ln>
            <a:effectLst/>
          </c:spPr>
          <c:cat>
            <c:numRef>
              <c:f>Historico!$B$2:$AD$2</c:f>
              <c:numCache>
                <c:formatCode>m/d/yyyy</c:formatCode>
                <c:ptCount val="29"/>
                <c:pt idx="0">
                  <c:v>45572</c:v>
                </c:pt>
                <c:pt idx="1">
                  <c:v>45579</c:v>
                </c:pt>
                <c:pt idx="2">
                  <c:v>45586</c:v>
                </c:pt>
                <c:pt idx="3">
                  <c:v>45593</c:v>
                </c:pt>
                <c:pt idx="4">
                  <c:v>45600</c:v>
                </c:pt>
                <c:pt idx="5">
                  <c:v>45607</c:v>
                </c:pt>
                <c:pt idx="6">
                  <c:v>45618</c:v>
                </c:pt>
                <c:pt idx="7">
                  <c:v>45622</c:v>
                </c:pt>
                <c:pt idx="8">
                  <c:v>45624</c:v>
                </c:pt>
                <c:pt idx="9">
                  <c:v>45625</c:v>
                </c:pt>
                <c:pt idx="10">
                  <c:v>45628</c:v>
                </c:pt>
                <c:pt idx="11">
                  <c:v>45629</c:v>
                </c:pt>
                <c:pt idx="12">
                  <c:v>45639</c:v>
                </c:pt>
                <c:pt idx="13">
                  <c:v>45666</c:v>
                </c:pt>
                <c:pt idx="14">
                  <c:v>45680</c:v>
                </c:pt>
                <c:pt idx="15">
                  <c:v>45694</c:v>
                </c:pt>
                <c:pt idx="16">
                  <c:v>45703</c:v>
                </c:pt>
                <c:pt idx="17">
                  <c:v>45714</c:v>
                </c:pt>
                <c:pt idx="18">
                  <c:v>45721</c:v>
                </c:pt>
                <c:pt idx="19">
                  <c:v>45722</c:v>
                </c:pt>
                <c:pt idx="20">
                  <c:v>45730</c:v>
                </c:pt>
                <c:pt idx="21">
                  <c:v>45744</c:v>
                </c:pt>
                <c:pt idx="22">
                  <c:v>45747</c:v>
                </c:pt>
                <c:pt idx="23">
                  <c:v>45768</c:v>
                </c:pt>
                <c:pt idx="24">
                  <c:v>45777</c:v>
                </c:pt>
                <c:pt idx="25">
                  <c:v>45803</c:v>
                </c:pt>
                <c:pt idx="26">
                  <c:v>45831</c:v>
                </c:pt>
                <c:pt idx="27">
                  <c:v>45846</c:v>
                </c:pt>
                <c:pt idx="28">
                  <c:v>45869</c:v>
                </c:pt>
              </c:numCache>
            </c:numRef>
          </c:cat>
          <c:val>
            <c:numRef>
              <c:f>Historico!$B$6:$AD$6</c:f>
              <c:numCache>
                <c:formatCode>General</c:formatCode>
                <c:ptCount val="29"/>
                <c:pt idx="0">
                  <c:v>20</c:v>
                </c:pt>
                <c:pt idx="1">
                  <c:v>25</c:v>
                </c:pt>
                <c:pt idx="2">
                  <c:v>17</c:v>
                </c:pt>
                <c:pt idx="3">
                  <c:v>15</c:v>
                </c:pt>
                <c:pt idx="4">
                  <c:v>16</c:v>
                </c:pt>
                <c:pt idx="5">
                  <c:v>22</c:v>
                </c:pt>
                <c:pt idx="6">
                  <c:v>14</c:v>
                </c:pt>
                <c:pt idx="7">
                  <c:v>13</c:v>
                </c:pt>
                <c:pt idx="8">
                  <c:v>30</c:v>
                </c:pt>
                <c:pt idx="9">
                  <c:v>46</c:v>
                </c:pt>
                <c:pt idx="10">
                  <c:v>46</c:v>
                </c:pt>
                <c:pt idx="11">
                  <c:v>43</c:v>
                </c:pt>
                <c:pt idx="12">
                  <c:v>28</c:v>
                </c:pt>
                <c:pt idx="13">
                  <c:v>38</c:v>
                </c:pt>
                <c:pt idx="14">
                  <c:v>73</c:v>
                </c:pt>
                <c:pt idx="15">
                  <c:v>77</c:v>
                </c:pt>
                <c:pt idx="16">
                  <c:v>23</c:v>
                </c:pt>
                <c:pt idx="17">
                  <c:v>18</c:v>
                </c:pt>
                <c:pt idx="18">
                  <c:v>12</c:v>
                </c:pt>
                <c:pt idx="19">
                  <c:v>4</c:v>
                </c:pt>
                <c:pt idx="20">
                  <c:v>5</c:v>
                </c:pt>
                <c:pt idx="21">
                  <c:v>15</c:v>
                </c:pt>
                <c:pt idx="22">
                  <c:v>11</c:v>
                </c:pt>
                <c:pt idx="23">
                  <c:v>15</c:v>
                </c:pt>
                <c:pt idx="24">
                  <c:v>24</c:v>
                </c:pt>
                <c:pt idx="25">
                  <c:v>14</c:v>
                </c:pt>
                <c:pt idx="26">
                  <c:v>19</c:v>
                </c:pt>
                <c:pt idx="27">
                  <c:v>19</c:v>
                </c:pt>
                <c:pt idx="28">
                  <c:v>22</c:v>
                </c:pt>
              </c:numCache>
            </c:numRef>
          </c:val>
          <c:extLst>
            <c:ext xmlns:c16="http://schemas.microsoft.com/office/drawing/2014/chart" uri="{C3380CC4-5D6E-409C-BE32-E72D297353CC}">
              <c16:uniqueId val="{00000003-1796-463D-B006-78B7487E9281}"/>
            </c:ext>
          </c:extLst>
        </c:ser>
        <c:ser>
          <c:idx val="4"/>
          <c:order val="4"/>
          <c:tx>
            <c:strRef>
              <c:f>Historico!$A$7</c:f>
              <c:strCache>
                <c:ptCount val="1"/>
                <c:pt idx="0">
                  <c:v>Parada</c:v>
                </c:pt>
              </c:strCache>
            </c:strRef>
          </c:tx>
          <c:spPr>
            <a:solidFill>
              <a:schemeClr val="accent5"/>
            </a:solidFill>
            <a:ln>
              <a:noFill/>
            </a:ln>
            <a:effectLst/>
          </c:spPr>
          <c:cat>
            <c:numRef>
              <c:f>Historico!$B$2:$AD$2</c:f>
              <c:numCache>
                <c:formatCode>m/d/yyyy</c:formatCode>
                <c:ptCount val="29"/>
                <c:pt idx="0">
                  <c:v>45572</c:v>
                </c:pt>
                <c:pt idx="1">
                  <c:v>45579</c:v>
                </c:pt>
                <c:pt idx="2">
                  <c:v>45586</c:v>
                </c:pt>
                <c:pt idx="3">
                  <c:v>45593</c:v>
                </c:pt>
                <c:pt idx="4">
                  <c:v>45600</c:v>
                </c:pt>
                <c:pt idx="5">
                  <c:v>45607</c:v>
                </c:pt>
                <c:pt idx="6">
                  <c:v>45618</c:v>
                </c:pt>
                <c:pt idx="7">
                  <c:v>45622</c:v>
                </c:pt>
                <c:pt idx="8">
                  <c:v>45624</c:v>
                </c:pt>
                <c:pt idx="9">
                  <c:v>45625</c:v>
                </c:pt>
                <c:pt idx="10">
                  <c:v>45628</c:v>
                </c:pt>
                <c:pt idx="11">
                  <c:v>45629</c:v>
                </c:pt>
                <c:pt idx="12">
                  <c:v>45639</c:v>
                </c:pt>
                <c:pt idx="13">
                  <c:v>45666</c:v>
                </c:pt>
                <c:pt idx="14">
                  <c:v>45680</c:v>
                </c:pt>
                <c:pt idx="15">
                  <c:v>45694</c:v>
                </c:pt>
                <c:pt idx="16">
                  <c:v>45703</c:v>
                </c:pt>
                <c:pt idx="17">
                  <c:v>45714</c:v>
                </c:pt>
                <c:pt idx="18">
                  <c:v>45721</c:v>
                </c:pt>
                <c:pt idx="19">
                  <c:v>45722</c:v>
                </c:pt>
                <c:pt idx="20">
                  <c:v>45730</c:v>
                </c:pt>
                <c:pt idx="21">
                  <c:v>45744</c:v>
                </c:pt>
                <c:pt idx="22">
                  <c:v>45747</c:v>
                </c:pt>
                <c:pt idx="23">
                  <c:v>45768</c:v>
                </c:pt>
                <c:pt idx="24">
                  <c:v>45777</c:v>
                </c:pt>
                <c:pt idx="25">
                  <c:v>45803</c:v>
                </c:pt>
                <c:pt idx="26">
                  <c:v>45831</c:v>
                </c:pt>
                <c:pt idx="27">
                  <c:v>45846</c:v>
                </c:pt>
                <c:pt idx="28">
                  <c:v>45869</c:v>
                </c:pt>
              </c:numCache>
            </c:numRef>
          </c:cat>
          <c:val>
            <c:numRef>
              <c:f>Historico!$B$7:$AD$7</c:f>
              <c:numCache>
                <c:formatCode>General</c:formatCode>
                <c:ptCount val="29"/>
                <c:pt idx="0">
                  <c:v>9</c:v>
                </c:pt>
                <c:pt idx="1">
                  <c:v>18</c:v>
                </c:pt>
                <c:pt idx="2">
                  <c:v>22</c:v>
                </c:pt>
                <c:pt idx="3">
                  <c:v>22</c:v>
                </c:pt>
                <c:pt idx="4">
                  <c:v>21</c:v>
                </c:pt>
                <c:pt idx="5">
                  <c:v>15</c:v>
                </c:pt>
                <c:pt idx="6">
                  <c:v>18</c:v>
                </c:pt>
                <c:pt idx="7">
                  <c:v>17</c:v>
                </c:pt>
                <c:pt idx="8">
                  <c:v>19</c:v>
                </c:pt>
                <c:pt idx="9">
                  <c:v>19</c:v>
                </c:pt>
                <c:pt idx="10">
                  <c:v>19</c:v>
                </c:pt>
                <c:pt idx="11">
                  <c:v>25</c:v>
                </c:pt>
                <c:pt idx="12">
                  <c:v>39</c:v>
                </c:pt>
                <c:pt idx="13">
                  <c:v>38</c:v>
                </c:pt>
                <c:pt idx="14">
                  <c:v>40</c:v>
                </c:pt>
                <c:pt idx="15">
                  <c:v>15</c:v>
                </c:pt>
                <c:pt idx="16">
                  <c:v>29</c:v>
                </c:pt>
                <c:pt idx="17">
                  <c:v>18</c:v>
                </c:pt>
                <c:pt idx="18">
                  <c:v>22</c:v>
                </c:pt>
                <c:pt idx="19">
                  <c:v>29</c:v>
                </c:pt>
                <c:pt idx="20">
                  <c:v>27</c:v>
                </c:pt>
                <c:pt idx="21">
                  <c:v>24</c:v>
                </c:pt>
                <c:pt idx="22">
                  <c:v>28</c:v>
                </c:pt>
                <c:pt idx="23">
                  <c:v>14</c:v>
                </c:pt>
                <c:pt idx="24">
                  <c:v>16</c:v>
                </c:pt>
                <c:pt idx="25">
                  <c:v>30</c:v>
                </c:pt>
                <c:pt idx="26">
                  <c:v>29</c:v>
                </c:pt>
                <c:pt idx="27">
                  <c:v>47</c:v>
                </c:pt>
                <c:pt idx="28">
                  <c:v>34</c:v>
                </c:pt>
              </c:numCache>
            </c:numRef>
          </c:val>
          <c:extLst>
            <c:ext xmlns:c16="http://schemas.microsoft.com/office/drawing/2014/chart" uri="{C3380CC4-5D6E-409C-BE32-E72D297353CC}">
              <c16:uniqueId val="{00000004-1796-463D-B006-78B7487E9281}"/>
            </c:ext>
          </c:extLst>
        </c:ser>
        <c:ser>
          <c:idx val="5"/>
          <c:order val="5"/>
          <c:tx>
            <c:strRef>
              <c:f>Historico!$A$8</c:f>
              <c:strCache>
                <c:ptCount val="1"/>
                <c:pt idx="0">
                  <c:v>Calidad</c:v>
                </c:pt>
              </c:strCache>
            </c:strRef>
          </c:tx>
          <c:spPr>
            <a:solidFill>
              <a:schemeClr val="accent6"/>
            </a:solidFill>
            <a:ln>
              <a:noFill/>
            </a:ln>
            <a:effectLst/>
          </c:spPr>
          <c:cat>
            <c:numRef>
              <c:f>Historico!$B$2:$AD$2</c:f>
              <c:numCache>
                <c:formatCode>m/d/yyyy</c:formatCode>
                <c:ptCount val="29"/>
                <c:pt idx="0">
                  <c:v>45572</c:v>
                </c:pt>
                <c:pt idx="1">
                  <c:v>45579</c:v>
                </c:pt>
                <c:pt idx="2">
                  <c:v>45586</c:v>
                </c:pt>
                <c:pt idx="3">
                  <c:v>45593</c:v>
                </c:pt>
                <c:pt idx="4">
                  <c:v>45600</c:v>
                </c:pt>
                <c:pt idx="5">
                  <c:v>45607</c:v>
                </c:pt>
                <c:pt idx="6">
                  <c:v>45618</c:v>
                </c:pt>
                <c:pt idx="7">
                  <c:v>45622</c:v>
                </c:pt>
                <c:pt idx="8">
                  <c:v>45624</c:v>
                </c:pt>
                <c:pt idx="9">
                  <c:v>45625</c:v>
                </c:pt>
                <c:pt idx="10">
                  <c:v>45628</c:v>
                </c:pt>
                <c:pt idx="11">
                  <c:v>45629</c:v>
                </c:pt>
                <c:pt idx="12">
                  <c:v>45639</c:v>
                </c:pt>
                <c:pt idx="13">
                  <c:v>45666</c:v>
                </c:pt>
                <c:pt idx="14">
                  <c:v>45680</c:v>
                </c:pt>
                <c:pt idx="15">
                  <c:v>45694</c:v>
                </c:pt>
                <c:pt idx="16">
                  <c:v>45703</c:v>
                </c:pt>
                <c:pt idx="17">
                  <c:v>45714</c:v>
                </c:pt>
                <c:pt idx="18">
                  <c:v>45721</c:v>
                </c:pt>
                <c:pt idx="19">
                  <c:v>45722</c:v>
                </c:pt>
                <c:pt idx="20">
                  <c:v>45730</c:v>
                </c:pt>
                <c:pt idx="21">
                  <c:v>45744</c:v>
                </c:pt>
                <c:pt idx="22">
                  <c:v>45747</c:v>
                </c:pt>
                <c:pt idx="23">
                  <c:v>45768</c:v>
                </c:pt>
                <c:pt idx="24">
                  <c:v>45777</c:v>
                </c:pt>
                <c:pt idx="25">
                  <c:v>45803</c:v>
                </c:pt>
                <c:pt idx="26">
                  <c:v>45831</c:v>
                </c:pt>
                <c:pt idx="27">
                  <c:v>45846</c:v>
                </c:pt>
                <c:pt idx="28">
                  <c:v>45869</c:v>
                </c:pt>
              </c:numCache>
            </c:numRef>
          </c:cat>
          <c:val>
            <c:numRef>
              <c:f>Historico!$B$8:$AD$8</c:f>
              <c:numCache>
                <c:formatCode>General</c:formatCode>
                <c:ptCount val="29"/>
                <c:pt idx="0">
                  <c:v>3</c:v>
                </c:pt>
                <c:pt idx="1">
                  <c:v>7</c:v>
                </c:pt>
                <c:pt idx="2">
                  <c:v>16</c:v>
                </c:pt>
                <c:pt idx="3">
                  <c:v>15</c:v>
                </c:pt>
                <c:pt idx="4">
                  <c:v>9</c:v>
                </c:pt>
                <c:pt idx="5">
                  <c:v>2</c:v>
                </c:pt>
                <c:pt idx="6">
                  <c:v>33</c:v>
                </c:pt>
                <c:pt idx="7">
                  <c:v>32</c:v>
                </c:pt>
                <c:pt idx="8">
                  <c:v>32</c:v>
                </c:pt>
                <c:pt idx="9">
                  <c:v>25</c:v>
                </c:pt>
                <c:pt idx="10">
                  <c:v>25</c:v>
                </c:pt>
                <c:pt idx="11">
                  <c:v>27</c:v>
                </c:pt>
                <c:pt idx="12">
                  <c:v>45</c:v>
                </c:pt>
                <c:pt idx="13">
                  <c:v>48</c:v>
                </c:pt>
                <c:pt idx="14">
                  <c:v>31</c:v>
                </c:pt>
                <c:pt idx="15">
                  <c:v>44</c:v>
                </c:pt>
                <c:pt idx="16">
                  <c:v>30</c:v>
                </c:pt>
                <c:pt idx="17">
                  <c:v>20</c:v>
                </c:pt>
                <c:pt idx="18">
                  <c:v>33</c:v>
                </c:pt>
                <c:pt idx="19">
                  <c:v>33</c:v>
                </c:pt>
                <c:pt idx="20">
                  <c:v>35</c:v>
                </c:pt>
                <c:pt idx="21">
                  <c:v>35</c:v>
                </c:pt>
                <c:pt idx="22">
                  <c:v>44</c:v>
                </c:pt>
                <c:pt idx="23">
                  <c:v>43</c:v>
                </c:pt>
                <c:pt idx="24">
                  <c:v>42</c:v>
                </c:pt>
                <c:pt idx="25">
                  <c:v>48</c:v>
                </c:pt>
                <c:pt idx="26">
                  <c:v>43</c:v>
                </c:pt>
                <c:pt idx="27">
                  <c:v>42</c:v>
                </c:pt>
                <c:pt idx="28">
                  <c:v>58</c:v>
                </c:pt>
              </c:numCache>
            </c:numRef>
          </c:val>
          <c:extLst>
            <c:ext xmlns:c16="http://schemas.microsoft.com/office/drawing/2014/chart" uri="{C3380CC4-5D6E-409C-BE32-E72D297353CC}">
              <c16:uniqueId val="{00000005-1796-463D-B006-78B7487E9281}"/>
            </c:ext>
          </c:extLst>
        </c:ser>
        <c:ser>
          <c:idx val="6"/>
          <c:order val="6"/>
          <c:tx>
            <c:strRef>
              <c:f>Historico!$A$9</c:f>
              <c:strCache>
                <c:ptCount val="1"/>
                <c:pt idx="0">
                  <c:v>Finalizadas</c:v>
                </c:pt>
              </c:strCache>
            </c:strRef>
          </c:tx>
          <c:spPr>
            <a:solidFill>
              <a:schemeClr val="accent1">
                <a:lumMod val="60000"/>
              </a:schemeClr>
            </a:solidFill>
            <a:ln>
              <a:noFill/>
            </a:ln>
            <a:effectLst/>
          </c:spPr>
          <c:cat>
            <c:numRef>
              <c:f>Historico!$B$2:$AD$2</c:f>
              <c:numCache>
                <c:formatCode>m/d/yyyy</c:formatCode>
                <c:ptCount val="29"/>
                <c:pt idx="0">
                  <c:v>45572</c:v>
                </c:pt>
                <c:pt idx="1">
                  <c:v>45579</c:v>
                </c:pt>
                <c:pt idx="2">
                  <c:v>45586</c:v>
                </c:pt>
                <c:pt idx="3">
                  <c:v>45593</c:v>
                </c:pt>
                <c:pt idx="4">
                  <c:v>45600</c:v>
                </c:pt>
                <c:pt idx="5">
                  <c:v>45607</c:v>
                </c:pt>
                <c:pt idx="6">
                  <c:v>45618</c:v>
                </c:pt>
                <c:pt idx="7">
                  <c:v>45622</c:v>
                </c:pt>
                <c:pt idx="8">
                  <c:v>45624</c:v>
                </c:pt>
                <c:pt idx="9">
                  <c:v>45625</c:v>
                </c:pt>
                <c:pt idx="10">
                  <c:v>45628</c:v>
                </c:pt>
                <c:pt idx="11">
                  <c:v>45629</c:v>
                </c:pt>
                <c:pt idx="12">
                  <c:v>45639</c:v>
                </c:pt>
                <c:pt idx="13">
                  <c:v>45666</c:v>
                </c:pt>
                <c:pt idx="14">
                  <c:v>45680</c:v>
                </c:pt>
                <c:pt idx="15">
                  <c:v>45694</c:v>
                </c:pt>
                <c:pt idx="16">
                  <c:v>45703</c:v>
                </c:pt>
                <c:pt idx="17">
                  <c:v>45714</c:v>
                </c:pt>
                <c:pt idx="18">
                  <c:v>45721</c:v>
                </c:pt>
                <c:pt idx="19">
                  <c:v>45722</c:v>
                </c:pt>
                <c:pt idx="20">
                  <c:v>45730</c:v>
                </c:pt>
                <c:pt idx="21">
                  <c:v>45744</c:v>
                </c:pt>
                <c:pt idx="22">
                  <c:v>45747</c:v>
                </c:pt>
                <c:pt idx="23">
                  <c:v>45768</c:v>
                </c:pt>
                <c:pt idx="24">
                  <c:v>45777</c:v>
                </c:pt>
                <c:pt idx="25">
                  <c:v>45803</c:v>
                </c:pt>
                <c:pt idx="26">
                  <c:v>45831</c:v>
                </c:pt>
                <c:pt idx="27">
                  <c:v>45846</c:v>
                </c:pt>
                <c:pt idx="28">
                  <c:v>45869</c:v>
                </c:pt>
              </c:numCache>
            </c:numRef>
          </c:cat>
          <c:val>
            <c:numRef>
              <c:f>Historico!$B$9:$AD$9</c:f>
              <c:numCache>
                <c:formatCode>General</c:formatCode>
                <c:ptCount val="29"/>
                <c:pt idx="0">
                  <c:v>0</c:v>
                </c:pt>
                <c:pt idx="1">
                  <c:v>0</c:v>
                </c:pt>
                <c:pt idx="2">
                  <c:v>0</c:v>
                </c:pt>
                <c:pt idx="3">
                  <c:v>4</c:v>
                </c:pt>
                <c:pt idx="4">
                  <c:v>12</c:v>
                </c:pt>
                <c:pt idx="5">
                  <c:v>19</c:v>
                </c:pt>
                <c:pt idx="6">
                  <c:v>20</c:v>
                </c:pt>
                <c:pt idx="7">
                  <c:v>21</c:v>
                </c:pt>
                <c:pt idx="8">
                  <c:v>30</c:v>
                </c:pt>
                <c:pt idx="9">
                  <c:v>37</c:v>
                </c:pt>
                <c:pt idx="10">
                  <c:v>37</c:v>
                </c:pt>
                <c:pt idx="11">
                  <c:v>43</c:v>
                </c:pt>
                <c:pt idx="12">
                  <c:v>81</c:v>
                </c:pt>
                <c:pt idx="13">
                  <c:v>117</c:v>
                </c:pt>
                <c:pt idx="14">
                  <c:v>152</c:v>
                </c:pt>
                <c:pt idx="15">
                  <c:v>178</c:v>
                </c:pt>
                <c:pt idx="16">
                  <c:v>220</c:v>
                </c:pt>
                <c:pt idx="17">
                  <c:v>274</c:v>
                </c:pt>
                <c:pt idx="18">
                  <c:v>279</c:v>
                </c:pt>
                <c:pt idx="19">
                  <c:v>279</c:v>
                </c:pt>
                <c:pt idx="20">
                  <c:v>284</c:v>
                </c:pt>
                <c:pt idx="21">
                  <c:v>286</c:v>
                </c:pt>
                <c:pt idx="22">
                  <c:v>286</c:v>
                </c:pt>
                <c:pt idx="23">
                  <c:v>295</c:v>
                </c:pt>
                <c:pt idx="24">
                  <c:v>297</c:v>
                </c:pt>
                <c:pt idx="25">
                  <c:v>304</c:v>
                </c:pt>
                <c:pt idx="26">
                  <c:v>312</c:v>
                </c:pt>
                <c:pt idx="27">
                  <c:v>315</c:v>
                </c:pt>
                <c:pt idx="28">
                  <c:v>300</c:v>
                </c:pt>
              </c:numCache>
            </c:numRef>
          </c:val>
          <c:extLst>
            <c:ext xmlns:c16="http://schemas.microsoft.com/office/drawing/2014/chart" uri="{C3380CC4-5D6E-409C-BE32-E72D297353CC}">
              <c16:uniqueId val="{00000006-1796-463D-B006-78B7487E9281}"/>
            </c:ext>
          </c:extLst>
        </c:ser>
        <c:dLbls>
          <c:showLegendKey val="0"/>
          <c:showVal val="0"/>
          <c:showCatName val="0"/>
          <c:showSerName val="0"/>
          <c:showPercent val="0"/>
          <c:showBubbleSize val="0"/>
        </c:dLbls>
        <c:axId val="1070827360"/>
        <c:axId val="1070828320"/>
      </c:areaChart>
      <c:dateAx>
        <c:axId val="10708273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070828320"/>
        <c:crosses val="autoZero"/>
        <c:auto val="1"/>
        <c:lblOffset val="100"/>
        <c:baseTimeUnit val="days"/>
      </c:dateAx>
      <c:valAx>
        <c:axId val="1070828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070827360"/>
        <c:crosses val="autoZero"/>
        <c:crossBetween val="midCat"/>
      </c:valAx>
      <c:spPr>
        <a:noFill/>
        <a:ln>
          <a:noFill/>
        </a:ln>
        <a:effectLst/>
      </c:spPr>
    </c:plotArea>
    <c:legend>
      <c:legendPos val="b"/>
      <c:layout>
        <c:manualLayout>
          <c:xMode val="edge"/>
          <c:yMode val="edge"/>
          <c:x val="4.9496858506792446E-2"/>
          <c:y val="0.90817868698702464"/>
          <c:w val="0.9278933926561832"/>
          <c:h val="7.4537365195981142E-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s-E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INCIDENCIAS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A21-4257-AE27-51575D1D07C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A21-4257-AE27-51575D1D07C7}"/>
              </c:ext>
            </c:extLst>
          </c:dPt>
          <c:cat>
            <c:strRef>
              <c:f>Incidencias!$F$5:$F$6</c:f>
              <c:strCache>
                <c:ptCount val="2"/>
                <c:pt idx="0">
                  <c:v>Abierta</c:v>
                </c:pt>
                <c:pt idx="1">
                  <c:v>Cerrada</c:v>
                </c:pt>
              </c:strCache>
            </c:strRef>
          </c:cat>
          <c:val>
            <c:numRef>
              <c:f>Incidencias!$G$5:$G$6</c:f>
              <c:numCache>
                <c:formatCode>General</c:formatCode>
                <c:ptCount val="2"/>
                <c:pt idx="0">
                  <c:v>40</c:v>
                </c:pt>
                <c:pt idx="1">
                  <c:v>241</c:v>
                </c:pt>
              </c:numCache>
            </c:numRef>
          </c:val>
          <c:extLst>
            <c:ext xmlns:c16="http://schemas.microsoft.com/office/drawing/2014/chart" uri="{C3380CC4-5D6E-409C-BE32-E72D297353CC}">
              <c16:uniqueId val="{00000004-5A21-4257-AE27-51575D1D07C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rgbClr val="FF0000"/>
            </a:solidFill>
          </c:spPr>
          <c:dPt>
            <c:idx val="0"/>
            <c:bubble3D val="0"/>
            <c:spPr>
              <a:solidFill>
                <a:srgbClr val="FF0000"/>
              </a:solidFill>
              <a:ln w="19050">
                <a:solidFill>
                  <a:schemeClr val="lt1"/>
                </a:solidFill>
              </a:ln>
              <a:effectLst/>
            </c:spPr>
            <c:extLst>
              <c:ext xmlns:c16="http://schemas.microsoft.com/office/drawing/2014/chart" uri="{C3380CC4-5D6E-409C-BE32-E72D297353CC}">
                <c16:uniqueId val="{00000001-A21B-4B52-BA98-98F6B33B6340}"/>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A21B-4B52-BA98-98F6B33B6340}"/>
              </c:ext>
            </c:extLst>
          </c:dPt>
          <c:cat>
            <c:strRef>
              <c:f>Incidencias!$F$5:$F$6</c:f>
              <c:strCache>
                <c:ptCount val="2"/>
                <c:pt idx="0">
                  <c:v>Abierta</c:v>
                </c:pt>
                <c:pt idx="1">
                  <c:v>Cerrada</c:v>
                </c:pt>
              </c:strCache>
            </c:strRef>
          </c:cat>
          <c:val>
            <c:numRef>
              <c:f>Incidencias!$G$5:$G$6</c:f>
              <c:numCache>
                <c:formatCode>General</c:formatCode>
                <c:ptCount val="2"/>
                <c:pt idx="0">
                  <c:v>40</c:v>
                </c:pt>
                <c:pt idx="1">
                  <c:v>241</c:v>
                </c:pt>
              </c:numCache>
            </c:numRef>
          </c:val>
          <c:extLst>
            <c:ext xmlns:c16="http://schemas.microsoft.com/office/drawing/2014/chart" uri="{C3380CC4-5D6E-409C-BE32-E72D297353CC}">
              <c16:uniqueId val="{00000004-A21B-4B52-BA98-98F6B33B6340}"/>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17115279322781068"/>
          <c:y val="0.87976149975290585"/>
          <c:w val="0.62492264557527999"/>
          <c:h val="9.8016272470009352E-2"/>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image" Target="../media/image10.sv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sv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svg"/><Relationship Id="rId11" Type="http://schemas.openxmlformats.org/officeDocument/2006/relationships/image" Target="../media/image13.png"/><Relationship Id="rId5" Type="http://schemas.openxmlformats.org/officeDocument/2006/relationships/image" Target="../media/image7.png"/><Relationship Id="rId10" Type="http://schemas.openxmlformats.org/officeDocument/2006/relationships/image" Target="../media/image12.svg"/><Relationship Id="rId4" Type="http://schemas.openxmlformats.org/officeDocument/2006/relationships/image" Target="../media/image6.svg"/><Relationship Id="rId9" Type="http://schemas.openxmlformats.org/officeDocument/2006/relationships/image" Target="../media/image1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5.png"/><Relationship Id="rId4" Type="http://schemas.openxmlformats.org/officeDocument/2006/relationships/image" Target="../media/image18.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4.svg"/><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image" Target="../media/image13.png"/><Relationship Id="rId5" Type="http://schemas.openxmlformats.org/officeDocument/2006/relationships/image" Target="../media/image19.png"/><Relationship Id="rId4" Type="http://schemas.openxmlformats.org/officeDocument/2006/relationships/image" Target="../media/image12.svg"/></Relationships>
</file>

<file path=xl/drawings/_rels/drawing7.xml.rels><?xml version="1.0" encoding="UTF-8" standalone="yes"?>
<Relationships xmlns="http://schemas.openxmlformats.org/package/2006/relationships"><Relationship Id="rId2" Type="http://schemas.openxmlformats.org/officeDocument/2006/relationships/image" Target="../media/image20.svg"/><Relationship Id="rId1"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0</xdr:col>
      <xdr:colOff>74385</xdr:colOff>
      <xdr:row>1</xdr:row>
      <xdr:rowOff>12699</xdr:rowOff>
    </xdr:from>
    <xdr:to>
      <xdr:col>2</xdr:col>
      <xdr:colOff>0</xdr:colOff>
      <xdr:row>3</xdr:row>
      <xdr:rowOff>49784</xdr:rowOff>
    </xdr:to>
    <xdr:pic>
      <xdr:nvPicPr>
        <xdr:cNvPr id="2" name="Imagen 1" descr="Indra se reorganiza y cambia su imagen de marca — Brandemia">
          <a:extLst>
            <a:ext uri="{FF2B5EF4-FFF2-40B4-BE49-F238E27FC236}">
              <a16:creationId xmlns:a16="http://schemas.microsoft.com/office/drawing/2014/main" id="{AC084078-7646-4E29-93BA-FBDCE597E869}"/>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059" t="32957" r="14714" b="37184"/>
        <a:stretch/>
      </xdr:blipFill>
      <xdr:spPr bwMode="auto">
        <a:xfrm>
          <a:off x="74385" y="195579"/>
          <a:ext cx="1281975" cy="4028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45447</xdr:colOff>
      <xdr:row>0</xdr:row>
      <xdr:rowOff>58238</xdr:rowOff>
    </xdr:from>
    <xdr:to>
      <xdr:col>12</xdr:col>
      <xdr:colOff>149225</xdr:colOff>
      <xdr:row>1</xdr:row>
      <xdr:rowOff>170153</xdr:rowOff>
    </xdr:to>
    <xdr:pic>
      <xdr:nvPicPr>
        <xdr:cNvPr id="4" name="Imagen 2">
          <a:extLst>
            <a:ext uri="{FF2B5EF4-FFF2-40B4-BE49-F238E27FC236}">
              <a16:creationId xmlns:a16="http://schemas.microsoft.com/office/drawing/2014/main" id="{3B1808AE-07FE-4A68-B4E1-6027C1238F97}"/>
            </a:ext>
          </a:extLst>
        </xdr:cNvPr>
        <xdr:cNvPicPr>
          <a:picLocks noChangeAspect="1"/>
        </xdr:cNvPicPr>
      </xdr:nvPicPr>
      <xdr:blipFill>
        <a:blip xmlns:r="http://schemas.openxmlformats.org/officeDocument/2006/relationships" r:embed="rId2"/>
        <a:stretch>
          <a:fillRect/>
        </a:stretch>
      </xdr:blipFill>
      <xdr:spPr>
        <a:xfrm>
          <a:off x="5160372" y="58238"/>
          <a:ext cx="1297578" cy="5699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760886</xdr:colOff>
      <xdr:row>5</xdr:row>
      <xdr:rowOff>98809</xdr:rowOff>
    </xdr:from>
    <xdr:to>
      <xdr:col>3</xdr:col>
      <xdr:colOff>113037</xdr:colOff>
      <xdr:row>7</xdr:row>
      <xdr:rowOff>59656</xdr:rowOff>
    </xdr:to>
    <xdr:grpSp>
      <xdr:nvGrpSpPr>
        <xdr:cNvPr id="2" name="Grupo 1">
          <a:extLst>
            <a:ext uri="{FF2B5EF4-FFF2-40B4-BE49-F238E27FC236}">
              <a16:creationId xmlns:a16="http://schemas.microsoft.com/office/drawing/2014/main" id="{4FA678DE-B976-44F2-89F4-A8ADE88173D6}"/>
            </a:ext>
          </a:extLst>
        </xdr:cNvPr>
        <xdr:cNvGrpSpPr/>
      </xdr:nvGrpSpPr>
      <xdr:grpSpPr>
        <a:xfrm>
          <a:off x="2554761" y="1511684"/>
          <a:ext cx="1257151" cy="532347"/>
          <a:chOff x="3579645" y="95034"/>
          <a:chExt cx="1263196" cy="363244"/>
        </a:xfrm>
      </xdr:grpSpPr>
      <xdr:sp macro="[0]!Modificar_y_enviar_correo" textlink="">
        <xdr:nvSpPr>
          <xdr:cNvPr id="3" name="Rectángulo 2">
            <a:extLst>
              <a:ext uri="{FF2B5EF4-FFF2-40B4-BE49-F238E27FC236}">
                <a16:creationId xmlns:a16="http://schemas.microsoft.com/office/drawing/2014/main" id="{9EDD1C31-68DE-6EBA-85B5-BBCDF28029BE}"/>
              </a:ext>
            </a:extLst>
          </xdr:cNvPr>
          <xdr:cNvSpPr/>
        </xdr:nvSpPr>
        <xdr:spPr>
          <a:xfrm>
            <a:off x="3579645" y="95034"/>
            <a:ext cx="1263196" cy="36324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s-ES" sz="1100" b="1"/>
              <a:t>Modificar</a:t>
            </a:r>
          </a:p>
        </xdr:txBody>
      </xdr:sp>
      <xdr:pic>
        <xdr:nvPicPr>
          <xdr:cNvPr id="4" name="Gráfico 3" descr="Transferencia con relleno sólido">
            <a:extLst>
              <a:ext uri="{FF2B5EF4-FFF2-40B4-BE49-F238E27FC236}">
                <a16:creationId xmlns:a16="http://schemas.microsoft.com/office/drawing/2014/main" id="{3B7522B0-FDA2-38AB-BBC5-01112DA63BB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642955" y="134439"/>
            <a:ext cx="299763" cy="311104"/>
          </a:xfrm>
          <a:prstGeom prst="rect">
            <a:avLst/>
          </a:prstGeom>
        </xdr:spPr>
      </xdr:pic>
      <xdr:pic>
        <xdr:nvPicPr>
          <xdr:cNvPr id="5" name="Gráfico 4" descr="Sobre con relleno sólido">
            <a:extLst>
              <a:ext uri="{FF2B5EF4-FFF2-40B4-BE49-F238E27FC236}">
                <a16:creationId xmlns:a16="http://schemas.microsoft.com/office/drawing/2014/main" id="{7704A178-0D62-712E-A055-22EAFB3F57C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939413" y="218833"/>
            <a:ext cx="174589" cy="144061"/>
          </a:xfrm>
          <a:prstGeom prst="rect">
            <a:avLst/>
          </a:prstGeom>
        </xdr:spPr>
      </xdr:pic>
    </xdr:grpSp>
    <xdr:clientData/>
  </xdr:twoCellAnchor>
  <xdr:twoCellAnchor>
    <xdr:from>
      <xdr:col>0</xdr:col>
      <xdr:colOff>434508</xdr:colOff>
      <xdr:row>5</xdr:row>
      <xdr:rowOff>95000</xdr:rowOff>
    </xdr:from>
    <xdr:to>
      <xdr:col>1</xdr:col>
      <xdr:colOff>1029652</xdr:colOff>
      <xdr:row>7</xdr:row>
      <xdr:rowOff>59656</xdr:rowOff>
    </xdr:to>
    <xdr:grpSp>
      <xdr:nvGrpSpPr>
        <xdr:cNvPr id="6" name="Grupo 5">
          <a:extLst>
            <a:ext uri="{FF2B5EF4-FFF2-40B4-BE49-F238E27FC236}">
              <a16:creationId xmlns:a16="http://schemas.microsoft.com/office/drawing/2014/main" id="{1844AE65-8219-4330-A509-D594013FE511}"/>
            </a:ext>
            <a:ext uri="{147F2762-F138-4A5C-976F-8EAC2B608ADB}">
              <a16:predDERef xmlns:a16="http://schemas.microsoft.com/office/drawing/2014/main" pred="{80AB5931-18C6-44EE-9843-2DEEABEC6756}"/>
            </a:ext>
          </a:extLst>
        </xdr:cNvPr>
        <xdr:cNvGrpSpPr/>
      </xdr:nvGrpSpPr>
      <xdr:grpSpPr>
        <a:xfrm>
          <a:off x="424983" y="1507875"/>
          <a:ext cx="1033294" cy="536156"/>
          <a:chOff x="844231" y="79146"/>
          <a:chExt cx="727609" cy="360155"/>
        </a:xfrm>
      </xdr:grpSpPr>
      <xdr:sp macro="[0]!Agregar_nuevo_registro_con_notificacion" textlink="">
        <xdr:nvSpPr>
          <xdr:cNvPr id="7" name="Rectángulo 6">
            <a:extLst>
              <a:ext uri="{FF2B5EF4-FFF2-40B4-BE49-F238E27FC236}">
                <a16:creationId xmlns:a16="http://schemas.microsoft.com/office/drawing/2014/main" id="{0C136BD2-C6DB-418A-4CA9-B7A19860A749}"/>
              </a:ext>
            </a:extLst>
          </xdr:cNvPr>
          <xdr:cNvSpPr/>
        </xdr:nvSpPr>
        <xdr:spPr>
          <a:xfrm>
            <a:off x="844231" y="79146"/>
            <a:ext cx="727609" cy="35943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s-ES" sz="1100" b="1"/>
              <a:t>Nuevo</a:t>
            </a:r>
          </a:p>
        </xdr:txBody>
      </xdr:sp>
      <xdr:pic macro="[0]!Agregar_nuevo_registro_con_notificacion">
        <xdr:nvPicPr>
          <xdr:cNvPr id="8" name="Gráfico 7" descr="Agregar con relleno sólido">
            <a:extLst>
              <a:ext uri="{FF2B5EF4-FFF2-40B4-BE49-F238E27FC236}">
                <a16:creationId xmlns:a16="http://schemas.microsoft.com/office/drawing/2014/main" id="{30C2CA10-B870-D598-1ABB-B7B346B0BEA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86101" y="121063"/>
            <a:ext cx="266656" cy="283095"/>
          </a:xfrm>
          <a:prstGeom prst="rect">
            <a:avLst/>
          </a:prstGeom>
        </xdr:spPr>
      </xdr:pic>
      <xdr:pic macro="[0]!Agregar_nuevo_registro_con_notificacion">
        <xdr:nvPicPr>
          <xdr:cNvPr id="9" name="Gráfico 8" descr="Sobre con relleno sólido">
            <a:extLst>
              <a:ext uri="{FF2B5EF4-FFF2-40B4-BE49-F238E27FC236}">
                <a16:creationId xmlns:a16="http://schemas.microsoft.com/office/drawing/2014/main" id="{03FB93FE-2627-4214-B629-98CC2906526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3892" y="300955"/>
            <a:ext cx="165497" cy="138346"/>
          </a:xfrm>
          <a:prstGeom prst="rect">
            <a:avLst/>
          </a:prstGeom>
        </xdr:spPr>
      </xdr:pic>
    </xdr:grpSp>
    <xdr:clientData/>
  </xdr:twoCellAnchor>
  <xdr:twoCellAnchor>
    <xdr:from>
      <xdr:col>1</xdr:col>
      <xdr:colOff>1095175</xdr:colOff>
      <xdr:row>5</xdr:row>
      <xdr:rowOff>104525</xdr:rowOff>
    </xdr:from>
    <xdr:to>
      <xdr:col>2</xdr:col>
      <xdr:colOff>703897</xdr:colOff>
      <xdr:row>7</xdr:row>
      <xdr:rowOff>59656</xdr:rowOff>
    </xdr:to>
    <xdr:grpSp>
      <xdr:nvGrpSpPr>
        <xdr:cNvPr id="10" name="Grupo 9">
          <a:extLst>
            <a:ext uri="{FF2B5EF4-FFF2-40B4-BE49-F238E27FC236}">
              <a16:creationId xmlns:a16="http://schemas.microsoft.com/office/drawing/2014/main" id="{6295B19E-149D-4518-86AF-E099A40AEE8D}"/>
            </a:ext>
          </a:extLst>
        </xdr:cNvPr>
        <xdr:cNvGrpSpPr/>
      </xdr:nvGrpSpPr>
      <xdr:grpSpPr>
        <a:xfrm>
          <a:off x="1523800" y="1517400"/>
          <a:ext cx="973972" cy="526631"/>
          <a:chOff x="1559043" y="1495175"/>
          <a:chExt cx="1031757" cy="536156"/>
        </a:xfrm>
      </xdr:grpSpPr>
      <xdr:sp macro="[0]!BuscarRegistro" textlink="">
        <xdr:nvSpPr>
          <xdr:cNvPr id="11" name="Rectángulo 10">
            <a:extLst>
              <a:ext uri="{FF2B5EF4-FFF2-40B4-BE49-F238E27FC236}">
                <a16:creationId xmlns:a16="http://schemas.microsoft.com/office/drawing/2014/main" id="{F63DE434-CDA6-352B-0519-F673751D6C23}"/>
              </a:ext>
            </a:extLst>
          </xdr:cNvPr>
          <xdr:cNvSpPr/>
        </xdr:nvSpPr>
        <xdr:spPr>
          <a:xfrm>
            <a:off x="1559043" y="1495175"/>
            <a:ext cx="1031757" cy="53615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s-ES" sz="1100" b="1"/>
              <a:t>Buscar</a:t>
            </a:r>
          </a:p>
        </xdr:txBody>
      </xdr:sp>
      <xdr:pic macro="[0]!BuscarRegistro">
        <xdr:nvPicPr>
          <xdr:cNvPr id="12" name="Gráfico 11" descr="Lupa con relleno sólido">
            <a:extLst>
              <a:ext uri="{FF2B5EF4-FFF2-40B4-BE49-F238E27FC236}">
                <a16:creationId xmlns:a16="http://schemas.microsoft.com/office/drawing/2014/main" id="{A2BF3B5D-388D-A032-47B2-98A424BB34A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35597" y="1561626"/>
            <a:ext cx="405777" cy="420316"/>
          </a:xfrm>
          <a:prstGeom prst="rect">
            <a:avLst/>
          </a:prstGeom>
        </xdr:spPr>
      </xdr:pic>
    </xdr:grpSp>
    <xdr:clientData/>
  </xdr:twoCellAnchor>
  <xdr:twoCellAnchor>
    <xdr:from>
      <xdr:col>3</xdr:col>
      <xdr:colOff>188266</xdr:colOff>
      <xdr:row>5</xdr:row>
      <xdr:rowOff>98810</xdr:rowOff>
    </xdr:from>
    <xdr:to>
      <xdr:col>3</xdr:col>
      <xdr:colOff>1284922</xdr:colOff>
      <xdr:row>7</xdr:row>
      <xdr:rowOff>59656</xdr:rowOff>
    </xdr:to>
    <xdr:grpSp>
      <xdr:nvGrpSpPr>
        <xdr:cNvPr id="13" name="Grupo 12">
          <a:extLst>
            <a:ext uri="{FF2B5EF4-FFF2-40B4-BE49-F238E27FC236}">
              <a16:creationId xmlns:a16="http://schemas.microsoft.com/office/drawing/2014/main" id="{C3FD7B0C-318E-43D8-BC64-11FE1C432FAB}"/>
            </a:ext>
          </a:extLst>
        </xdr:cNvPr>
        <xdr:cNvGrpSpPr/>
      </xdr:nvGrpSpPr>
      <xdr:grpSpPr>
        <a:xfrm>
          <a:off x="3887141" y="1511685"/>
          <a:ext cx="1096656" cy="532346"/>
          <a:chOff x="4060179" y="1497080"/>
          <a:chExt cx="1098561" cy="530441"/>
        </a:xfrm>
      </xdr:grpSpPr>
      <xdr:sp macro="[0]!Limpiar" textlink="">
        <xdr:nvSpPr>
          <xdr:cNvPr id="14" name="Rectángulo 13">
            <a:extLst>
              <a:ext uri="{FF2B5EF4-FFF2-40B4-BE49-F238E27FC236}">
                <a16:creationId xmlns:a16="http://schemas.microsoft.com/office/drawing/2014/main" id="{EC8A5463-B36F-06D9-59F8-C42BA1895836}"/>
              </a:ext>
            </a:extLst>
          </xdr:cNvPr>
          <xdr:cNvSpPr/>
        </xdr:nvSpPr>
        <xdr:spPr>
          <a:xfrm>
            <a:off x="4060179" y="1497080"/>
            <a:ext cx="1098561" cy="53044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s-ES" sz="1100"/>
              <a:t>Limpiar</a:t>
            </a:r>
          </a:p>
        </xdr:txBody>
      </xdr:sp>
      <xdr:pic macro="[0]!Limpiar">
        <xdr:nvPicPr>
          <xdr:cNvPr id="15" name="Gráfico 14" descr="Borrador con relleno sólido">
            <a:extLst>
              <a:ext uri="{FF2B5EF4-FFF2-40B4-BE49-F238E27FC236}">
                <a16:creationId xmlns:a16="http://schemas.microsoft.com/office/drawing/2014/main" id="{32E5656E-D965-C472-55FB-A9C78065E6D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146129" y="1517410"/>
            <a:ext cx="428734" cy="471618"/>
          </a:xfrm>
          <a:prstGeom prst="rect">
            <a:avLst/>
          </a:prstGeom>
        </xdr:spPr>
      </xdr:pic>
    </xdr:grpSp>
    <xdr:clientData/>
  </xdr:twoCellAnchor>
  <xdr:twoCellAnchor>
    <xdr:from>
      <xdr:col>3</xdr:col>
      <xdr:colOff>1358310</xdr:colOff>
      <xdr:row>5</xdr:row>
      <xdr:rowOff>92489</xdr:rowOff>
    </xdr:from>
    <xdr:to>
      <xdr:col>4</xdr:col>
      <xdr:colOff>1102873</xdr:colOff>
      <xdr:row>7</xdr:row>
      <xdr:rowOff>59656</xdr:rowOff>
    </xdr:to>
    <xdr:grpSp>
      <xdr:nvGrpSpPr>
        <xdr:cNvPr id="16" name="Grupo 17">
          <a:extLst>
            <a:ext uri="{FF2B5EF4-FFF2-40B4-BE49-F238E27FC236}">
              <a16:creationId xmlns:a16="http://schemas.microsoft.com/office/drawing/2014/main" id="{376CAE5B-7236-4E71-8812-58B61BF69A96}"/>
            </a:ext>
            <a:ext uri="{147F2762-F138-4A5C-976F-8EAC2B608ADB}">
              <a16:predDERef xmlns:a16="http://schemas.microsoft.com/office/drawing/2014/main" pred="{EA86ECD1-2915-49EF-B648-8E2BF6151DF1}"/>
            </a:ext>
          </a:extLst>
        </xdr:cNvPr>
        <xdr:cNvGrpSpPr/>
      </xdr:nvGrpSpPr>
      <xdr:grpSpPr>
        <a:xfrm>
          <a:off x="5057185" y="1505364"/>
          <a:ext cx="1649563" cy="538667"/>
          <a:chOff x="5548147" y="1356472"/>
          <a:chExt cx="1025249" cy="463737"/>
        </a:xfrm>
      </xdr:grpSpPr>
      <xdr:sp macro="[0]!ListarControlesSAP" textlink="">
        <xdr:nvSpPr>
          <xdr:cNvPr id="17" name="Rectángulo 16">
            <a:extLst>
              <a:ext uri="{FF2B5EF4-FFF2-40B4-BE49-F238E27FC236}">
                <a16:creationId xmlns:a16="http://schemas.microsoft.com/office/drawing/2014/main" id="{A5B67D5C-89FC-3CC4-9ACF-DD052A9969D8}"/>
              </a:ext>
            </a:extLst>
          </xdr:cNvPr>
          <xdr:cNvSpPr/>
        </xdr:nvSpPr>
        <xdr:spPr>
          <a:xfrm>
            <a:off x="5548147" y="1356472"/>
            <a:ext cx="1025249" cy="45508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s-ES" sz="1100"/>
              <a:t>Actualizar LMs SAP</a:t>
            </a:r>
          </a:p>
        </xdr:txBody>
      </xdr:sp>
      <xdr:pic>
        <xdr:nvPicPr>
          <xdr:cNvPr id="18" name="Gráfico 17" descr="Repetir con relleno sólido">
            <a:extLst>
              <a:ext uri="{FF2B5EF4-FFF2-40B4-BE49-F238E27FC236}">
                <a16:creationId xmlns:a16="http://schemas.microsoft.com/office/drawing/2014/main" id="{FCDFCA21-1743-3E89-B11C-D4681D349555}"/>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584350" y="1408532"/>
            <a:ext cx="248590" cy="411677"/>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1476375</xdr:colOff>
      <xdr:row>1</xdr:row>
      <xdr:rowOff>9525</xdr:rowOff>
    </xdr:from>
    <xdr:to>
      <xdr:col>17</xdr:col>
      <xdr:colOff>200025</xdr:colOff>
      <xdr:row>28</xdr:row>
      <xdr:rowOff>114300</xdr:rowOff>
    </xdr:to>
    <xdr:pic>
      <xdr:nvPicPr>
        <xdr:cNvPr id="2" name="Imagen 1">
          <a:extLst>
            <a:ext uri="{FF2B5EF4-FFF2-40B4-BE49-F238E27FC236}">
              <a16:creationId xmlns:a16="http://schemas.microsoft.com/office/drawing/2014/main" id="{AA4E0AF3-04D0-65CA-743E-ED0E8BA7B0CE}"/>
            </a:ext>
          </a:extLst>
        </xdr:cNvPr>
        <xdr:cNvPicPr>
          <a:picLocks noChangeAspect="1"/>
        </xdr:cNvPicPr>
      </xdr:nvPicPr>
      <xdr:blipFill>
        <a:blip xmlns:r="http://schemas.openxmlformats.org/officeDocument/2006/relationships" r:embed="rId1"/>
        <a:stretch>
          <a:fillRect/>
        </a:stretch>
      </xdr:blipFill>
      <xdr:spPr>
        <a:xfrm>
          <a:off x="6638925" y="200025"/>
          <a:ext cx="9296400" cy="5248275"/>
        </a:xfrm>
        <a:prstGeom prst="rect">
          <a:avLst/>
        </a:prstGeom>
      </xdr:spPr>
    </xdr:pic>
    <xdr:clientData/>
  </xdr:twoCellAnchor>
  <xdr:twoCellAnchor editAs="oneCell">
    <xdr:from>
      <xdr:col>5</xdr:col>
      <xdr:colOff>209550</xdr:colOff>
      <xdr:row>17</xdr:row>
      <xdr:rowOff>114300</xdr:rowOff>
    </xdr:from>
    <xdr:to>
      <xdr:col>6</xdr:col>
      <xdr:colOff>38101</xdr:colOff>
      <xdr:row>28</xdr:row>
      <xdr:rowOff>57150</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7972425" y="3352800"/>
          <a:ext cx="1095376" cy="2038350"/>
        </a:xfrm>
        <a:prstGeom prst="rect">
          <a:avLst/>
        </a:prstGeom>
      </xdr:spPr>
    </xdr:pic>
    <xdr:clientData/>
  </xdr:twoCellAnchor>
  <xdr:twoCellAnchor editAs="oneCell">
    <xdr:from>
      <xdr:col>4</xdr:col>
      <xdr:colOff>1176623</xdr:colOff>
      <xdr:row>29</xdr:row>
      <xdr:rowOff>104775</xdr:rowOff>
    </xdr:from>
    <xdr:to>
      <xdr:col>22</xdr:col>
      <xdr:colOff>569322</xdr:colOff>
      <xdr:row>64</xdr:row>
      <xdr:rowOff>47625</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6339173" y="5629275"/>
          <a:ext cx="13013449" cy="6610350"/>
        </a:xfrm>
        <a:prstGeom prst="rect">
          <a:avLst/>
        </a:prstGeom>
      </xdr:spPr>
    </xdr:pic>
    <xdr:clientData/>
  </xdr:twoCellAnchor>
  <xdr:twoCellAnchor editAs="oneCell">
    <xdr:from>
      <xdr:col>4</xdr:col>
      <xdr:colOff>923925</xdr:colOff>
      <xdr:row>67</xdr:row>
      <xdr:rowOff>114300</xdr:rowOff>
    </xdr:from>
    <xdr:to>
      <xdr:col>23</xdr:col>
      <xdr:colOff>55480</xdr:colOff>
      <xdr:row>104</xdr:row>
      <xdr:rowOff>113419</xdr:rowOff>
    </xdr:to>
    <xdr:pic>
      <xdr:nvPicPr>
        <xdr:cNvPr id="5" name="Imagen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6086475" y="12877800"/>
          <a:ext cx="13361905" cy="70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3016</xdr:colOff>
      <xdr:row>15</xdr:row>
      <xdr:rowOff>132872</xdr:rowOff>
    </xdr:from>
    <xdr:to>
      <xdr:col>12</xdr:col>
      <xdr:colOff>207301</xdr:colOff>
      <xdr:row>17</xdr:row>
      <xdr:rowOff>13606</xdr:rowOff>
    </xdr:to>
    <xdr:sp macro="" textlink="">
      <xdr:nvSpPr>
        <xdr:cNvPr id="2" name="CuadroTexto 6">
          <a:extLst>
            <a:ext uri="{FF2B5EF4-FFF2-40B4-BE49-F238E27FC236}">
              <a16:creationId xmlns:a16="http://schemas.microsoft.com/office/drawing/2014/main" id="{D98FCEEA-6CD8-4C08-B07D-A753F9C13CCD}"/>
            </a:ext>
          </a:extLst>
        </xdr:cNvPr>
        <xdr:cNvSpPr txBox="1"/>
      </xdr:nvSpPr>
      <xdr:spPr>
        <a:xfrm>
          <a:off x="513556" y="3721892"/>
          <a:ext cx="10841805" cy="398894"/>
        </a:xfrm>
        <a:prstGeom prst="rect">
          <a:avLst/>
        </a:prstGeom>
        <a:solidFill>
          <a:srgbClr val="00425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a:solidFill>
                <a:schemeClr val="bg1"/>
              </a:solidFill>
              <a:latin typeface="Neo Sans" panose="020B0504020202020204" pitchFamily="34" charset="0"/>
            </a:rPr>
            <a:t>EVOLUCIÓN ESTADO OPs</a:t>
          </a:r>
        </a:p>
      </xdr:txBody>
    </xdr:sp>
    <xdr:clientData/>
  </xdr:twoCellAnchor>
  <xdr:twoCellAnchor>
    <xdr:from>
      <xdr:col>12</xdr:col>
      <xdr:colOff>342107</xdr:colOff>
      <xdr:row>15</xdr:row>
      <xdr:rowOff>132873</xdr:rowOff>
    </xdr:from>
    <xdr:to>
      <xdr:col>16</xdr:col>
      <xdr:colOff>729615</xdr:colOff>
      <xdr:row>17</xdr:row>
      <xdr:rowOff>8255</xdr:rowOff>
    </xdr:to>
    <xdr:sp macro="" textlink="">
      <xdr:nvSpPr>
        <xdr:cNvPr id="3" name="CuadroTexto 6">
          <a:extLst>
            <a:ext uri="{FF2B5EF4-FFF2-40B4-BE49-F238E27FC236}">
              <a16:creationId xmlns:a16="http://schemas.microsoft.com/office/drawing/2014/main" id="{D4EAA70B-4667-4C3A-9A57-5AC88AAD91E2}"/>
            </a:ext>
          </a:extLst>
        </xdr:cNvPr>
        <xdr:cNvSpPr txBox="1"/>
      </xdr:nvSpPr>
      <xdr:spPr>
        <a:xfrm>
          <a:off x="11490167" y="3721893"/>
          <a:ext cx="4227988" cy="393542"/>
        </a:xfrm>
        <a:prstGeom prst="rect">
          <a:avLst/>
        </a:prstGeom>
        <a:solidFill>
          <a:srgbClr val="00425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a:solidFill>
                <a:schemeClr val="bg1"/>
              </a:solidFill>
              <a:latin typeface="Neo Sans" panose="020B0504020202020204" pitchFamily="34" charset="0"/>
            </a:rPr>
            <a:t>INCIDENCIAS</a:t>
          </a:r>
        </a:p>
      </xdr:txBody>
    </xdr:sp>
    <xdr:clientData/>
  </xdr:twoCellAnchor>
  <xdr:twoCellAnchor>
    <xdr:from>
      <xdr:col>2</xdr:col>
      <xdr:colOff>138546</xdr:colOff>
      <xdr:row>3</xdr:row>
      <xdr:rowOff>121227</xdr:rowOff>
    </xdr:from>
    <xdr:to>
      <xdr:col>6</xdr:col>
      <xdr:colOff>853826</xdr:colOff>
      <xdr:row>4</xdr:row>
      <xdr:rowOff>298219</xdr:rowOff>
    </xdr:to>
    <xdr:sp macro="" textlink="">
      <xdr:nvSpPr>
        <xdr:cNvPr id="4" name="Freeform 8">
          <a:extLst>
            <a:ext uri="{FF2B5EF4-FFF2-40B4-BE49-F238E27FC236}">
              <a16:creationId xmlns:a16="http://schemas.microsoft.com/office/drawing/2014/main" id="{3A1BECDD-E5B1-404C-AD50-621AE61DED4F}"/>
            </a:ext>
          </a:extLst>
        </xdr:cNvPr>
        <xdr:cNvSpPr>
          <a:spLocks noEditPoints="1"/>
        </xdr:cNvSpPr>
      </xdr:nvSpPr>
      <xdr:spPr bwMode="auto">
        <a:xfrm>
          <a:off x="473826" y="555567"/>
          <a:ext cx="3336560" cy="443692"/>
        </a:xfrm>
        <a:custGeom>
          <a:avLst/>
          <a:gdLst>
            <a:gd name="T0" fmla="*/ 172 w 4370"/>
            <a:gd name="T1" fmla="*/ 0 h 645"/>
            <a:gd name="T2" fmla="*/ 0 w 4370"/>
            <a:gd name="T3" fmla="*/ 645 h 645"/>
            <a:gd name="T4" fmla="*/ 375 w 4370"/>
            <a:gd name="T5" fmla="*/ 0 h 645"/>
            <a:gd name="T6" fmla="*/ 1018 w 4370"/>
            <a:gd name="T7" fmla="*/ 501 h 645"/>
            <a:gd name="T8" fmla="*/ 1055 w 4370"/>
            <a:gd name="T9" fmla="*/ 0 h 645"/>
            <a:gd name="T10" fmla="*/ 1226 w 4370"/>
            <a:gd name="T11" fmla="*/ 645 h 645"/>
            <a:gd name="T12" fmla="*/ 583 w 4370"/>
            <a:gd name="T13" fmla="*/ 143 h 645"/>
            <a:gd name="T14" fmla="*/ 546 w 4370"/>
            <a:gd name="T15" fmla="*/ 645 h 645"/>
            <a:gd name="T16" fmla="*/ 375 w 4370"/>
            <a:gd name="T17" fmla="*/ 0 h 645"/>
            <a:gd name="T18" fmla="*/ 1926 w 4370"/>
            <a:gd name="T19" fmla="*/ 0 h 645"/>
            <a:gd name="T20" fmla="*/ 1926 w 4370"/>
            <a:gd name="T21" fmla="*/ 645 h 645"/>
            <a:gd name="T22" fmla="*/ 1429 w 4370"/>
            <a:gd name="T23" fmla="*/ 0 h 645"/>
            <a:gd name="T24" fmla="*/ 1926 w 4370"/>
            <a:gd name="T25" fmla="*/ 143 h 645"/>
            <a:gd name="T26" fmla="*/ 1601 w 4370"/>
            <a:gd name="T27" fmla="*/ 501 h 645"/>
            <a:gd name="T28" fmla="*/ 2105 w 4370"/>
            <a:gd name="T29" fmla="*/ 322 h 645"/>
            <a:gd name="T30" fmla="*/ 2979 w 4370"/>
            <a:gd name="T31" fmla="*/ 0 h 645"/>
            <a:gd name="T32" fmla="*/ 3107 w 4370"/>
            <a:gd name="T33" fmla="*/ 444 h 645"/>
            <a:gd name="T34" fmla="*/ 3265 w 4370"/>
            <a:gd name="T35" fmla="*/ 641 h 645"/>
            <a:gd name="T36" fmla="*/ 3068 w 4370"/>
            <a:gd name="T37" fmla="*/ 645 h 645"/>
            <a:gd name="T38" fmla="*/ 2591 w 4370"/>
            <a:gd name="T39" fmla="*/ 463 h 645"/>
            <a:gd name="T40" fmla="*/ 2420 w 4370"/>
            <a:gd name="T41" fmla="*/ 645 h 645"/>
            <a:gd name="T42" fmla="*/ 3086 w 4370"/>
            <a:gd name="T43" fmla="*/ 231 h 645"/>
            <a:gd name="T44" fmla="*/ 2591 w 4370"/>
            <a:gd name="T45" fmla="*/ 143 h 645"/>
            <a:gd name="T46" fmla="*/ 2979 w 4370"/>
            <a:gd name="T47" fmla="*/ 319 h 645"/>
            <a:gd name="T48" fmla="*/ 3358 w 4370"/>
            <a:gd name="T49" fmla="*/ 641 h 645"/>
            <a:gd name="T50" fmla="*/ 3986 w 4370"/>
            <a:gd name="T51" fmla="*/ 0 h 645"/>
            <a:gd name="T52" fmla="*/ 4370 w 4370"/>
            <a:gd name="T53" fmla="*/ 645 h 645"/>
            <a:gd name="T54" fmla="*/ 4110 w 4370"/>
            <a:gd name="T55" fmla="*/ 525 h 645"/>
            <a:gd name="T56" fmla="*/ 3549 w 4370"/>
            <a:gd name="T57" fmla="*/ 645 h 645"/>
            <a:gd name="T58" fmla="*/ 3358 w 4370"/>
            <a:gd name="T59" fmla="*/ 641 h 645"/>
            <a:gd name="T60" fmla="*/ 3892 w 4370"/>
            <a:gd name="T61" fmla="*/ 143 h 645"/>
            <a:gd name="T62" fmla="*/ 3700 w 4370"/>
            <a:gd name="T63" fmla="*/ 381 h 6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Lst>
          <a:rect l="0" t="0" r="r" b="b"/>
          <a:pathLst>
            <a:path w="4370" h="645">
              <a:moveTo>
                <a:pt x="0" y="0"/>
              </a:moveTo>
              <a:cubicBezTo>
                <a:pt x="172" y="0"/>
                <a:pt x="172" y="0"/>
                <a:pt x="172" y="0"/>
              </a:cubicBezTo>
              <a:cubicBezTo>
                <a:pt x="172" y="645"/>
                <a:pt x="172" y="645"/>
                <a:pt x="172" y="645"/>
              </a:cubicBezTo>
              <a:cubicBezTo>
                <a:pt x="0" y="645"/>
                <a:pt x="0" y="645"/>
                <a:pt x="0" y="645"/>
              </a:cubicBezTo>
              <a:lnTo>
                <a:pt x="0" y="0"/>
              </a:lnTo>
              <a:close/>
              <a:moveTo>
                <a:pt x="375" y="0"/>
              </a:moveTo>
              <a:cubicBezTo>
                <a:pt x="682" y="0"/>
                <a:pt x="682" y="0"/>
                <a:pt x="682" y="0"/>
              </a:cubicBezTo>
              <a:cubicBezTo>
                <a:pt x="1018" y="501"/>
                <a:pt x="1018" y="501"/>
                <a:pt x="1018" y="501"/>
              </a:cubicBezTo>
              <a:cubicBezTo>
                <a:pt x="1055" y="501"/>
                <a:pt x="1055" y="501"/>
                <a:pt x="1055" y="501"/>
              </a:cubicBezTo>
              <a:cubicBezTo>
                <a:pt x="1055" y="0"/>
                <a:pt x="1055" y="0"/>
                <a:pt x="1055" y="0"/>
              </a:cubicBezTo>
              <a:cubicBezTo>
                <a:pt x="1226" y="0"/>
                <a:pt x="1226" y="0"/>
                <a:pt x="1226" y="0"/>
              </a:cubicBezTo>
              <a:cubicBezTo>
                <a:pt x="1226" y="645"/>
                <a:pt x="1226" y="645"/>
                <a:pt x="1226" y="645"/>
              </a:cubicBezTo>
              <a:cubicBezTo>
                <a:pt x="919" y="645"/>
                <a:pt x="919" y="645"/>
                <a:pt x="919" y="645"/>
              </a:cubicBezTo>
              <a:cubicBezTo>
                <a:pt x="583" y="143"/>
                <a:pt x="583" y="143"/>
                <a:pt x="583" y="143"/>
              </a:cubicBezTo>
              <a:cubicBezTo>
                <a:pt x="546" y="143"/>
                <a:pt x="546" y="143"/>
                <a:pt x="546" y="143"/>
              </a:cubicBezTo>
              <a:cubicBezTo>
                <a:pt x="546" y="645"/>
                <a:pt x="546" y="645"/>
                <a:pt x="546" y="645"/>
              </a:cubicBezTo>
              <a:cubicBezTo>
                <a:pt x="375" y="645"/>
                <a:pt x="375" y="645"/>
                <a:pt x="375" y="645"/>
              </a:cubicBezTo>
              <a:lnTo>
                <a:pt x="375" y="0"/>
              </a:lnTo>
              <a:close/>
              <a:moveTo>
                <a:pt x="1429" y="0"/>
              </a:moveTo>
              <a:cubicBezTo>
                <a:pt x="1926" y="0"/>
                <a:pt x="1926" y="0"/>
                <a:pt x="1926" y="0"/>
              </a:cubicBezTo>
              <a:cubicBezTo>
                <a:pt x="2147" y="0"/>
                <a:pt x="2281" y="122"/>
                <a:pt x="2281" y="322"/>
              </a:cubicBezTo>
              <a:cubicBezTo>
                <a:pt x="2281" y="522"/>
                <a:pt x="2147" y="645"/>
                <a:pt x="1926" y="645"/>
              </a:cubicBezTo>
              <a:cubicBezTo>
                <a:pt x="1429" y="645"/>
                <a:pt x="1429" y="645"/>
                <a:pt x="1429" y="645"/>
              </a:cubicBezTo>
              <a:lnTo>
                <a:pt x="1429" y="0"/>
              </a:lnTo>
              <a:close/>
              <a:moveTo>
                <a:pt x="2105" y="322"/>
              </a:moveTo>
              <a:cubicBezTo>
                <a:pt x="2105" y="206"/>
                <a:pt x="2042" y="143"/>
                <a:pt x="1926" y="143"/>
              </a:cubicBezTo>
              <a:cubicBezTo>
                <a:pt x="1601" y="143"/>
                <a:pt x="1601" y="143"/>
                <a:pt x="1601" y="143"/>
              </a:cubicBezTo>
              <a:cubicBezTo>
                <a:pt x="1601" y="501"/>
                <a:pt x="1601" y="501"/>
                <a:pt x="1601" y="501"/>
              </a:cubicBezTo>
              <a:cubicBezTo>
                <a:pt x="1926" y="501"/>
                <a:pt x="1926" y="501"/>
                <a:pt x="1926" y="501"/>
              </a:cubicBezTo>
              <a:cubicBezTo>
                <a:pt x="2042" y="501"/>
                <a:pt x="2105" y="439"/>
                <a:pt x="2105" y="322"/>
              </a:cubicBezTo>
              <a:close/>
              <a:moveTo>
                <a:pt x="2420" y="0"/>
              </a:moveTo>
              <a:cubicBezTo>
                <a:pt x="2979" y="0"/>
                <a:pt x="2979" y="0"/>
                <a:pt x="2979" y="0"/>
              </a:cubicBezTo>
              <a:cubicBezTo>
                <a:pt x="3157" y="0"/>
                <a:pt x="3262" y="85"/>
                <a:pt x="3262" y="231"/>
              </a:cubicBezTo>
              <a:cubicBezTo>
                <a:pt x="3262" y="337"/>
                <a:pt x="3205" y="412"/>
                <a:pt x="3107" y="444"/>
              </a:cubicBezTo>
              <a:cubicBezTo>
                <a:pt x="3107" y="459"/>
                <a:pt x="3107" y="459"/>
                <a:pt x="3107" y="459"/>
              </a:cubicBezTo>
              <a:cubicBezTo>
                <a:pt x="3265" y="641"/>
                <a:pt x="3265" y="641"/>
                <a:pt x="3265" y="641"/>
              </a:cubicBezTo>
              <a:cubicBezTo>
                <a:pt x="3265" y="645"/>
                <a:pt x="3265" y="645"/>
                <a:pt x="3265" y="645"/>
              </a:cubicBezTo>
              <a:cubicBezTo>
                <a:pt x="3068" y="645"/>
                <a:pt x="3068" y="645"/>
                <a:pt x="3068" y="645"/>
              </a:cubicBezTo>
              <a:cubicBezTo>
                <a:pt x="2913" y="463"/>
                <a:pt x="2913" y="463"/>
                <a:pt x="2913" y="463"/>
              </a:cubicBezTo>
              <a:cubicBezTo>
                <a:pt x="2591" y="463"/>
                <a:pt x="2591" y="463"/>
                <a:pt x="2591" y="463"/>
              </a:cubicBezTo>
              <a:cubicBezTo>
                <a:pt x="2591" y="645"/>
                <a:pt x="2591" y="645"/>
                <a:pt x="2591" y="645"/>
              </a:cubicBezTo>
              <a:cubicBezTo>
                <a:pt x="2420" y="645"/>
                <a:pt x="2420" y="645"/>
                <a:pt x="2420" y="645"/>
              </a:cubicBezTo>
              <a:lnTo>
                <a:pt x="2420" y="0"/>
              </a:lnTo>
              <a:close/>
              <a:moveTo>
                <a:pt x="3086" y="231"/>
              </a:moveTo>
              <a:cubicBezTo>
                <a:pt x="3086" y="175"/>
                <a:pt x="3048" y="143"/>
                <a:pt x="2979" y="143"/>
              </a:cubicBezTo>
              <a:cubicBezTo>
                <a:pt x="2591" y="143"/>
                <a:pt x="2591" y="143"/>
                <a:pt x="2591" y="143"/>
              </a:cubicBezTo>
              <a:cubicBezTo>
                <a:pt x="2591" y="319"/>
                <a:pt x="2591" y="319"/>
                <a:pt x="2591" y="319"/>
              </a:cubicBezTo>
              <a:cubicBezTo>
                <a:pt x="2979" y="319"/>
                <a:pt x="2979" y="319"/>
                <a:pt x="2979" y="319"/>
              </a:cubicBezTo>
              <a:cubicBezTo>
                <a:pt x="3048" y="319"/>
                <a:pt x="3086" y="287"/>
                <a:pt x="3086" y="231"/>
              </a:cubicBezTo>
              <a:close/>
              <a:moveTo>
                <a:pt x="3358" y="641"/>
              </a:moveTo>
              <a:cubicBezTo>
                <a:pt x="3742" y="0"/>
                <a:pt x="3742" y="0"/>
                <a:pt x="3742" y="0"/>
              </a:cubicBezTo>
              <a:cubicBezTo>
                <a:pt x="3986" y="0"/>
                <a:pt x="3986" y="0"/>
                <a:pt x="3986" y="0"/>
              </a:cubicBezTo>
              <a:cubicBezTo>
                <a:pt x="4370" y="641"/>
                <a:pt x="4370" y="641"/>
                <a:pt x="4370" y="641"/>
              </a:cubicBezTo>
              <a:cubicBezTo>
                <a:pt x="4370" y="645"/>
                <a:pt x="4370" y="645"/>
                <a:pt x="4370" y="645"/>
              </a:cubicBezTo>
              <a:cubicBezTo>
                <a:pt x="4179" y="645"/>
                <a:pt x="4179" y="645"/>
                <a:pt x="4179" y="645"/>
              </a:cubicBezTo>
              <a:cubicBezTo>
                <a:pt x="4110" y="525"/>
                <a:pt x="4110" y="525"/>
                <a:pt x="4110" y="525"/>
              </a:cubicBezTo>
              <a:cubicBezTo>
                <a:pt x="3618" y="525"/>
                <a:pt x="3618" y="525"/>
                <a:pt x="3618" y="525"/>
              </a:cubicBezTo>
              <a:cubicBezTo>
                <a:pt x="3549" y="645"/>
                <a:pt x="3549" y="645"/>
                <a:pt x="3549" y="645"/>
              </a:cubicBezTo>
              <a:cubicBezTo>
                <a:pt x="3358" y="645"/>
                <a:pt x="3358" y="645"/>
                <a:pt x="3358" y="645"/>
              </a:cubicBezTo>
              <a:lnTo>
                <a:pt x="3358" y="641"/>
              </a:lnTo>
              <a:close/>
              <a:moveTo>
                <a:pt x="4028" y="381"/>
              </a:moveTo>
              <a:cubicBezTo>
                <a:pt x="3892" y="143"/>
                <a:pt x="3892" y="143"/>
                <a:pt x="3892" y="143"/>
              </a:cubicBezTo>
              <a:cubicBezTo>
                <a:pt x="3836" y="143"/>
                <a:pt x="3836" y="143"/>
                <a:pt x="3836" y="143"/>
              </a:cubicBezTo>
              <a:cubicBezTo>
                <a:pt x="3700" y="381"/>
                <a:pt x="3700" y="381"/>
                <a:pt x="3700" y="381"/>
              </a:cubicBezTo>
              <a:lnTo>
                <a:pt x="4028" y="381"/>
              </a:lnTo>
              <a:close/>
            </a:path>
          </a:pathLst>
        </a:custGeom>
        <a:solidFill>
          <a:srgbClr val="FFFFFF"/>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s-ES"/>
        </a:p>
      </xdr:txBody>
    </xdr:sp>
    <xdr:clientData/>
  </xdr:twoCellAnchor>
  <xdr:twoCellAnchor>
    <xdr:from>
      <xdr:col>2</xdr:col>
      <xdr:colOff>163287</xdr:colOff>
      <xdr:row>17</xdr:row>
      <xdr:rowOff>65313</xdr:rowOff>
    </xdr:from>
    <xdr:to>
      <xdr:col>12</xdr:col>
      <xdr:colOff>206829</xdr:colOff>
      <xdr:row>39</xdr:row>
      <xdr:rowOff>54428</xdr:rowOff>
    </xdr:to>
    <xdr:graphicFrame macro="">
      <xdr:nvGraphicFramePr>
        <xdr:cNvPr id="5" name="Gráfico 4">
          <a:extLst>
            <a:ext uri="{FF2B5EF4-FFF2-40B4-BE49-F238E27FC236}">
              <a16:creationId xmlns:a16="http://schemas.microsoft.com/office/drawing/2014/main" id="{CBD81817-BB6D-453F-8A50-18739874F4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1186542</xdr:colOff>
      <xdr:row>42</xdr:row>
      <xdr:rowOff>130628</xdr:rowOff>
    </xdr:from>
    <xdr:to>
      <xdr:col>9</xdr:col>
      <xdr:colOff>1453982</xdr:colOff>
      <xdr:row>58</xdr:row>
      <xdr:rowOff>15862</xdr:rowOff>
    </xdr:to>
    <xdr:graphicFrame macro="">
      <xdr:nvGraphicFramePr>
        <xdr:cNvPr id="7" name="Gráfico 6">
          <a:extLst>
            <a:ext uri="{FF2B5EF4-FFF2-40B4-BE49-F238E27FC236}">
              <a16:creationId xmlns:a16="http://schemas.microsoft.com/office/drawing/2014/main" id="{CDD2461C-897C-4C90-AB4C-50E1F549CD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359773</xdr:colOff>
      <xdr:row>17</xdr:row>
      <xdr:rowOff>136071</xdr:rowOff>
    </xdr:from>
    <xdr:to>
      <xdr:col>16</xdr:col>
      <xdr:colOff>748393</xdr:colOff>
      <xdr:row>39</xdr:row>
      <xdr:rowOff>54428</xdr:rowOff>
    </xdr:to>
    <xdr:graphicFrame macro="">
      <xdr:nvGraphicFramePr>
        <xdr:cNvPr id="8" name="Gráfico 7">
          <a:extLst>
            <a:ext uri="{FF2B5EF4-FFF2-40B4-BE49-F238E27FC236}">
              <a16:creationId xmlns:a16="http://schemas.microsoft.com/office/drawing/2014/main" id="{8D19B0F7-B1D7-4FA3-B267-679BB26F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152400</xdr:colOff>
      <xdr:row>0</xdr:row>
      <xdr:rowOff>148591</xdr:rowOff>
    </xdr:from>
    <xdr:to>
      <xdr:col>8</xdr:col>
      <xdr:colOff>723900</xdr:colOff>
      <xdr:row>7</xdr:row>
      <xdr:rowOff>19050</xdr:rowOff>
    </xdr:to>
    <xdr:grpSp>
      <xdr:nvGrpSpPr>
        <xdr:cNvPr id="107" name="Grupo 1">
          <a:extLst>
            <a:ext uri="{FF2B5EF4-FFF2-40B4-BE49-F238E27FC236}">
              <a16:creationId xmlns:a16="http://schemas.microsoft.com/office/drawing/2014/main" id="{A637610E-EEDA-4BFE-8E2E-CC3E6BEBD352}"/>
            </a:ext>
          </a:extLst>
        </xdr:cNvPr>
        <xdr:cNvGrpSpPr/>
      </xdr:nvGrpSpPr>
      <xdr:grpSpPr>
        <a:xfrm>
          <a:off x="152400" y="148591"/>
          <a:ext cx="6667500" cy="1203959"/>
          <a:chOff x="958215" y="714375"/>
          <a:chExt cx="6896100" cy="2840054"/>
        </a:xfrm>
      </xdr:grpSpPr>
      <xdr:sp macro="" textlink="">
        <xdr:nvSpPr>
          <xdr:cNvPr id="108" name="Rectángulo 2">
            <a:extLst>
              <a:ext uri="{FF2B5EF4-FFF2-40B4-BE49-F238E27FC236}">
                <a16:creationId xmlns:a16="http://schemas.microsoft.com/office/drawing/2014/main" id="{11680084-9895-CBB8-4125-8ED96E745711}"/>
              </a:ext>
            </a:extLst>
          </xdr:cNvPr>
          <xdr:cNvSpPr/>
        </xdr:nvSpPr>
        <xdr:spPr>
          <a:xfrm>
            <a:off x="958215" y="714375"/>
            <a:ext cx="6896100" cy="2840054"/>
          </a:xfrm>
          <a:prstGeom prst="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b="1">
                <a:solidFill>
                  <a:sysClr val="windowText" lastClr="000000"/>
                </a:solidFill>
              </a:rPr>
              <a:t>BOTONES</a:t>
            </a:r>
          </a:p>
          <a:p>
            <a:pPr algn="l"/>
            <a:endParaRPr lang="es-ES" sz="1100" b="1" baseline="0">
              <a:solidFill>
                <a:sysClr val="windowText" lastClr="000000"/>
              </a:solidFill>
            </a:endParaRPr>
          </a:p>
          <a:p>
            <a:pPr algn="l"/>
            <a:endParaRPr lang="es-ES" sz="1100" b="1" baseline="0">
              <a:solidFill>
                <a:sysClr val="windowText" lastClr="000000"/>
              </a:solidFill>
            </a:endParaRPr>
          </a:p>
          <a:p>
            <a:pPr algn="l"/>
            <a:r>
              <a:rPr lang="es-ES" sz="1100" b="1" baseline="0">
                <a:solidFill>
                  <a:sysClr val="windowText" lastClr="000000"/>
                </a:solidFill>
              </a:rPr>
              <a:t>	        	Actualiza el estado de la lista de materiales. Es necesario tener abierto SAP, 			logearse y tener instalado el SAP Scripting. </a:t>
            </a:r>
            <a:endParaRPr lang="es-ES" sz="1100" b="1">
              <a:solidFill>
                <a:sysClr val="windowText" lastClr="000000"/>
              </a:solidFill>
            </a:endParaRPr>
          </a:p>
        </xdr:txBody>
      </xdr:sp>
      <xdr:pic>
        <xdr:nvPicPr>
          <xdr:cNvPr id="109" name="Gráfico 16" descr="Sobre con relleno sólido">
            <a:extLst>
              <a:ext uri="{FF2B5EF4-FFF2-40B4-BE49-F238E27FC236}">
                <a16:creationId xmlns:a16="http://schemas.microsoft.com/office/drawing/2014/main" id="{DC26CC23-125C-70D1-CD5B-CDD5558FA09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71738" y="1221203"/>
            <a:ext cx="169646" cy="139078"/>
          </a:xfrm>
          <a:prstGeom prst="rect">
            <a:avLst/>
          </a:prstGeom>
        </xdr:spPr>
      </xdr:pic>
      <xdr:pic macro="[0]!Limpiar">
        <xdr:nvPicPr>
          <xdr:cNvPr id="110" name="Gráfico 8" descr="Borrador con relleno sólido">
            <a:extLst>
              <a:ext uri="{FF2B5EF4-FFF2-40B4-BE49-F238E27FC236}">
                <a16:creationId xmlns:a16="http://schemas.microsoft.com/office/drawing/2014/main" id="{26320233-8680-81A2-CA1A-D0C4B6DF2CC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94738" y="2419218"/>
            <a:ext cx="283798" cy="308757"/>
          </a:xfrm>
          <a:prstGeom prst="rect">
            <a:avLst/>
          </a:prstGeom>
        </xdr:spPr>
      </xdr:pic>
    </xdr:grpSp>
    <xdr:clientData/>
  </xdr:twoCellAnchor>
  <xdr:twoCellAnchor>
    <xdr:from>
      <xdr:col>0</xdr:col>
      <xdr:colOff>159067</xdr:colOff>
      <xdr:row>8</xdr:row>
      <xdr:rowOff>20955</xdr:rowOff>
    </xdr:from>
    <xdr:to>
      <xdr:col>8</xdr:col>
      <xdr:colOff>730567</xdr:colOff>
      <xdr:row>17</xdr:row>
      <xdr:rowOff>9525</xdr:rowOff>
    </xdr:to>
    <xdr:sp macro="" textlink="">
      <xdr:nvSpPr>
        <xdr:cNvPr id="120" name="Rectángulo 19">
          <a:extLst>
            <a:ext uri="{FF2B5EF4-FFF2-40B4-BE49-F238E27FC236}">
              <a16:creationId xmlns:a16="http://schemas.microsoft.com/office/drawing/2014/main" id="{69D76391-81C7-4C23-A5FD-A8C6E9C284D8}"/>
            </a:ext>
          </a:extLst>
        </xdr:cNvPr>
        <xdr:cNvSpPr/>
      </xdr:nvSpPr>
      <xdr:spPr>
        <a:xfrm>
          <a:off x="159067" y="1468755"/>
          <a:ext cx="6819900" cy="1617345"/>
        </a:xfrm>
        <a:prstGeom prst="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b="1">
              <a:solidFill>
                <a:sysClr val="windowText" lastClr="000000"/>
              </a:solidFill>
            </a:rPr>
            <a:t>GENERAR</a:t>
          </a:r>
          <a:r>
            <a:rPr lang="es-ES" sz="1100" b="1" baseline="0">
              <a:solidFill>
                <a:sysClr val="windowText" lastClr="000000"/>
              </a:solidFill>
            </a:rPr>
            <a:t> NUEVA FILA</a:t>
          </a:r>
          <a:endParaRPr lang="es-ES" sz="1100" b="1">
            <a:solidFill>
              <a:sysClr val="windowText" lastClr="000000"/>
            </a:solidFill>
          </a:endParaRPr>
        </a:p>
        <a:p>
          <a:pPr algn="l"/>
          <a:endParaRPr lang="es-ES" sz="1100" b="1">
            <a:solidFill>
              <a:sysClr val="windowText" lastClr="000000"/>
            </a:solidFill>
          </a:endParaRPr>
        </a:p>
        <a:p>
          <a:pPr algn="l"/>
          <a:r>
            <a:rPr lang="es-ES" sz="1100" b="1" baseline="0">
              <a:solidFill>
                <a:sysClr val="windowText" lastClr="000000"/>
              </a:solidFill>
            </a:rPr>
            <a:t>Para añadir filas desplazate hasta el final de la tabla y añade manualmente los datos en la fila siguiente a la ultima. OJO!! Será necesario que le asignes un ID manualmente, ten cuidado de respetar el orden y no duplicarlo.</a:t>
          </a:r>
        </a:p>
        <a:p>
          <a:pPr algn="l"/>
          <a:endParaRPr lang="es-ES" sz="1100" b="1" baseline="0">
            <a:solidFill>
              <a:sysClr val="windowText" lastClr="000000"/>
            </a:solidFill>
          </a:endParaRPr>
        </a:p>
        <a:p>
          <a:pPr algn="l"/>
          <a:r>
            <a:rPr lang="es-ES" sz="1100" b="1" baseline="0">
              <a:solidFill>
                <a:sysClr val="windowText" lastClr="000000"/>
              </a:solidFill>
            </a:rPr>
            <a:t>MODIFICAR FILA</a:t>
          </a:r>
        </a:p>
        <a:p>
          <a:pPr algn="l"/>
          <a:endParaRPr lang="es-ES" sz="1100" b="1" baseline="0">
            <a:solidFill>
              <a:sysClr val="windowText" lastClr="000000"/>
            </a:solidFill>
          </a:endParaRPr>
        </a:p>
        <a:p>
          <a:pPr algn="l"/>
          <a:r>
            <a:rPr lang="es-ES" sz="1100" b="1" baseline="0">
              <a:solidFill>
                <a:sysClr val="windowText" lastClr="000000"/>
              </a:solidFill>
            </a:rPr>
            <a:t>Para modificar una fila puedes modificar sobre la tabla directamente los datos que sean necesarios. </a:t>
          </a:r>
        </a:p>
      </xdr:txBody>
    </xdr:sp>
    <xdr:clientData/>
  </xdr:twoCellAnchor>
  <xdr:twoCellAnchor>
    <xdr:from>
      <xdr:col>9</xdr:col>
      <xdr:colOff>69474</xdr:colOff>
      <xdr:row>1</xdr:row>
      <xdr:rowOff>17764</xdr:rowOff>
    </xdr:from>
    <xdr:to>
      <xdr:col>19</xdr:col>
      <xdr:colOff>667702</xdr:colOff>
      <xdr:row>39</xdr:row>
      <xdr:rowOff>114301</xdr:rowOff>
    </xdr:to>
    <xdr:sp macro="" textlink="">
      <xdr:nvSpPr>
        <xdr:cNvPr id="19" name="Rectángulo 20">
          <a:extLst>
            <a:ext uri="{FF2B5EF4-FFF2-40B4-BE49-F238E27FC236}">
              <a16:creationId xmlns:a16="http://schemas.microsoft.com/office/drawing/2014/main" id="{3BDF0C9F-39C9-4F03-9744-BB6BADE76196}"/>
            </a:ext>
            <a:ext uri="{147F2762-F138-4A5C-976F-8EAC2B608ADB}">
              <a16:predDERef xmlns:a16="http://schemas.microsoft.com/office/drawing/2014/main" pred="{69D76391-81C7-4C23-A5FD-A8C6E9C284D8}"/>
            </a:ext>
          </a:extLst>
        </xdr:cNvPr>
        <xdr:cNvSpPr/>
      </xdr:nvSpPr>
      <xdr:spPr>
        <a:xfrm>
          <a:off x="6927474" y="198739"/>
          <a:ext cx="8218228" cy="6973587"/>
        </a:xfrm>
        <a:prstGeom prst="rec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b="1">
              <a:solidFill>
                <a:sysClr val="windowText" lastClr="000000"/>
              </a:solidFill>
            </a:rPr>
            <a:t>PROCESO</a:t>
          </a:r>
        </a:p>
        <a:p>
          <a:pPr algn="l"/>
          <a:r>
            <a:rPr lang="es-ES" sz="1100" b="1">
              <a:solidFill>
                <a:sysClr val="windowText" lastClr="000000"/>
              </a:solidFill>
            </a:rPr>
            <a:t>1-</a:t>
          </a:r>
          <a:r>
            <a:rPr lang="es-ES" sz="1100" b="1" baseline="0">
              <a:solidFill>
                <a:sysClr val="windowText" lastClr="000000"/>
              </a:solidFill>
            </a:rPr>
            <a:t> </a:t>
          </a:r>
          <a:r>
            <a:rPr lang="es-ES" sz="1100" b="0" baseline="0">
              <a:solidFill>
                <a:sysClr val="windowText" lastClr="000000"/>
              </a:solidFill>
            </a:rPr>
            <a:t>Por cada necesidad de fabricación se</a:t>
          </a:r>
          <a:r>
            <a:rPr lang="es-ES" sz="1100" b="1" baseline="0">
              <a:solidFill>
                <a:sysClr val="windowText" lastClr="000000"/>
              </a:solidFill>
            </a:rPr>
            <a:t> </a:t>
          </a:r>
          <a:r>
            <a:rPr lang="es-ES" sz="1100" b="0">
              <a:solidFill>
                <a:sysClr val="windowText" lastClr="000000"/>
              </a:solidFill>
            </a:rPr>
            <a:t>genera una nueva fila</a:t>
          </a:r>
          <a:r>
            <a:rPr lang="es-ES" sz="1100" b="0" baseline="0">
              <a:solidFill>
                <a:sysClr val="windowText" lastClr="000000"/>
              </a:solidFill>
            </a:rPr>
            <a:t>, se completa las celdas coloreadas en naranja y define el estado como:</a:t>
          </a:r>
        </a:p>
        <a:p>
          <a:pPr algn="l"/>
          <a:endParaRPr lang="es-ES" sz="1100" b="0" baseline="0">
            <a:solidFill>
              <a:sysClr val="windowText" lastClr="000000"/>
            </a:solidFill>
          </a:endParaRPr>
        </a:p>
        <a:p>
          <a:pPr algn="l"/>
          <a:r>
            <a:rPr lang="es-ES" sz="1100" b="0" baseline="0">
              <a:solidFill>
                <a:sysClr val="windowText" lastClr="000000"/>
              </a:solidFill>
            </a:rPr>
            <a:t>- </a:t>
          </a:r>
          <a:r>
            <a:rPr lang="es-ES" sz="1100" b="1" baseline="0">
              <a:solidFill>
                <a:sysClr val="windowText" lastClr="000000"/>
              </a:solidFill>
            </a:rPr>
            <a:t>Ingenieria</a:t>
          </a:r>
          <a:r>
            <a:rPr lang="es-ES" sz="1100" b="0" baseline="0">
              <a:solidFill>
                <a:sysClr val="windowText" lastClr="000000"/>
              </a:solidFill>
            </a:rPr>
            <a:t>Si el diseño está abierto/pendiente de cambios. </a:t>
          </a:r>
        </a:p>
        <a:p>
          <a:pPr algn="l"/>
          <a:r>
            <a:rPr lang="es-ES" sz="1100" b="0" baseline="0">
              <a:solidFill>
                <a:sysClr val="windowText" lastClr="000000"/>
              </a:solidFill>
            </a:rPr>
            <a:t>- </a:t>
          </a:r>
          <a:r>
            <a:rPr lang="es-ES" sz="1100" b="1" baseline="0">
              <a:solidFill>
                <a:sysClr val="windowText" lastClr="000000"/>
              </a:solidFill>
            </a:rPr>
            <a:t>Diseño cerrado</a:t>
          </a:r>
          <a:r>
            <a:rPr lang="es-ES" sz="1100" b="0" baseline="0">
              <a:solidFill>
                <a:sysClr val="windowText" lastClr="000000"/>
              </a:solidFill>
            </a:rPr>
            <a:t>. Si el diseño está cerrado y disponible para comenzar la fabricación. </a:t>
          </a:r>
        </a:p>
        <a:p>
          <a:pPr algn="l"/>
          <a:endParaRPr lang="es-ES" sz="1100" b="0" i="0" u="none" strike="noStrike" baseline="0">
            <a:solidFill>
              <a:sysClr val="windowText" lastClr="000000"/>
            </a:solidFill>
            <a:effectLst/>
            <a:latin typeface="+mn-lt"/>
            <a:ea typeface="+mn-ea"/>
            <a:cs typeface="+mn-cs"/>
          </a:endParaRPr>
        </a:p>
        <a:p>
          <a:pPr algn="l"/>
          <a:r>
            <a:rPr lang="es-ES" sz="1100" b="0" i="0" u="none" strike="noStrike" baseline="0">
              <a:solidFill>
                <a:sysClr val="windowText" lastClr="000000"/>
              </a:solidFill>
              <a:effectLst/>
              <a:latin typeface="+mn-lt"/>
              <a:ea typeface="+mn-ea"/>
              <a:cs typeface="+mn-cs"/>
            </a:rPr>
            <a:t>Las celdas que diseño completa son: </a:t>
          </a:r>
        </a:p>
        <a:p>
          <a:pPr algn="l"/>
          <a:r>
            <a:rPr lang="es-ES" sz="1100" b="1" i="0" u="none" strike="noStrike">
              <a:solidFill>
                <a:sysClr val="windowText" lastClr="000000"/>
              </a:solidFill>
              <a:effectLst/>
              <a:latin typeface="+mn-lt"/>
              <a:ea typeface="+mn-ea"/>
              <a:cs typeface="+mn-cs"/>
            </a:rPr>
            <a:t>- Código Indra</a:t>
          </a:r>
          <a:endParaRPr lang="es-ES" sz="1100" b="0" i="0" u="none" strike="noStrike">
            <a:solidFill>
              <a:sysClr val="windowText" lastClr="000000"/>
            </a:solidFill>
            <a:effectLst/>
            <a:latin typeface="+mn-lt"/>
            <a:ea typeface="+mn-ea"/>
            <a:cs typeface="+mn-cs"/>
          </a:endParaRPr>
        </a:p>
        <a:p>
          <a:pPr algn="l"/>
          <a:r>
            <a:rPr lang="es-ES" sz="1100" b="1" i="0" u="none" strike="noStrike">
              <a:solidFill>
                <a:sysClr val="windowText" lastClr="000000"/>
              </a:solidFill>
              <a:effectLst/>
              <a:latin typeface="+mn-lt"/>
              <a:ea typeface="+mn-ea"/>
              <a:cs typeface="+mn-cs"/>
            </a:rPr>
            <a:t>- Descripción</a:t>
          </a:r>
          <a:r>
            <a:rPr lang="es-ES">
              <a:solidFill>
                <a:sysClr val="windowText" lastClr="000000"/>
              </a:solidFill>
            </a:rPr>
            <a:t> </a:t>
          </a:r>
        </a:p>
        <a:p>
          <a:pPr algn="l"/>
          <a:r>
            <a:rPr lang="es-ES" sz="1100" b="1" i="0" u="none" strike="noStrike">
              <a:solidFill>
                <a:sysClr val="windowText" lastClr="000000"/>
              </a:solidFill>
              <a:effectLst/>
              <a:latin typeface="+mn-lt"/>
              <a:ea typeface="+mn-ea"/>
              <a:cs typeface="+mn-cs"/>
            </a:rPr>
            <a:t>- Cantidad</a:t>
          </a:r>
          <a:r>
            <a:rPr lang="es-ES">
              <a:solidFill>
                <a:sysClr val="windowText" lastClr="000000"/>
              </a:solidFill>
            </a:rPr>
            <a:t> </a:t>
          </a:r>
        </a:p>
        <a:p>
          <a:pPr algn="l"/>
          <a:r>
            <a:rPr lang="es-ES" sz="1100" b="1" i="0" u="none" strike="noStrike">
              <a:solidFill>
                <a:sysClr val="windowText" lastClr="000000"/>
              </a:solidFill>
              <a:effectLst/>
              <a:latin typeface="+mn-lt"/>
              <a:ea typeface="+mn-ea"/>
              <a:cs typeface="+mn-cs"/>
            </a:rPr>
            <a:t>- Documentación</a:t>
          </a:r>
          <a:r>
            <a:rPr lang="es-ES" sz="1100" b="0" i="0" u="none" strike="noStrike">
              <a:solidFill>
                <a:sysClr val="windowText" lastClr="000000"/>
              </a:solidFill>
              <a:effectLst/>
              <a:latin typeface="+mn-lt"/>
              <a:ea typeface="+mn-ea"/>
              <a:cs typeface="+mn-cs"/>
            </a:rPr>
            <a:t>:</a:t>
          </a:r>
          <a:r>
            <a:rPr lang="es-ES" sz="1100" b="0" i="0" u="none" strike="noStrike" baseline="0">
              <a:solidFill>
                <a:sysClr val="windowText" lastClr="000000"/>
              </a:solidFill>
              <a:effectLst/>
              <a:latin typeface="+mn-lt"/>
              <a:ea typeface="+mn-ea"/>
              <a:cs typeface="+mn-cs"/>
            </a:rPr>
            <a:t> Docuemtacion necesaria para la farbicación y versión aplicable.  </a:t>
          </a:r>
          <a:endParaRPr lang="es-ES">
            <a:solidFill>
              <a:sysClr val="windowText" lastClr="000000"/>
            </a:solidFill>
          </a:endParaRPr>
        </a:p>
        <a:p>
          <a:pPr algn="l"/>
          <a:r>
            <a:rPr lang="es-ES" sz="1100" b="1" i="0" u="none" strike="noStrike">
              <a:solidFill>
                <a:sysClr val="windowText" lastClr="000000"/>
              </a:solidFill>
              <a:effectLst/>
              <a:latin typeface="+mn-lt"/>
              <a:ea typeface="+mn-ea"/>
              <a:cs typeface="+mn-cs"/>
            </a:rPr>
            <a:t>- Prioridad</a:t>
          </a:r>
          <a:r>
            <a:rPr lang="es-ES">
              <a:solidFill>
                <a:sysClr val="windowText" lastClr="000000"/>
              </a:solidFill>
            </a:rPr>
            <a:t> </a:t>
          </a:r>
        </a:p>
        <a:p>
          <a:pPr algn="l"/>
          <a:r>
            <a:rPr lang="es-ES" sz="1100" b="1" i="0" u="none" strike="noStrike">
              <a:solidFill>
                <a:sysClr val="windowText" lastClr="000000"/>
              </a:solidFill>
              <a:effectLst/>
              <a:latin typeface="+mn-lt"/>
              <a:ea typeface="+mn-ea"/>
              <a:cs typeface="+mn-cs"/>
            </a:rPr>
            <a:t>- Fecha de necesidad</a:t>
          </a:r>
          <a:r>
            <a:rPr lang="es-ES">
              <a:solidFill>
                <a:sysClr val="windowText" lastClr="000000"/>
              </a:solidFill>
            </a:rPr>
            <a:t> </a:t>
          </a:r>
        </a:p>
        <a:p>
          <a:pPr algn="l"/>
          <a:r>
            <a:rPr lang="es-ES" sz="1100" b="1" i="0" u="none" strike="noStrike">
              <a:solidFill>
                <a:sysClr val="windowText" lastClr="000000"/>
              </a:solidFill>
              <a:effectLst/>
              <a:latin typeface="+mn-lt"/>
              <a:ea typeface="+mn-ea"/>
              <a:cs typeface="+mn-cs"/>
            </a:rPr>
            <a:t>- Ingenieria HW</a:t>
          </a:r>
          <a:r>
            <a:rPr lang="es-ES" sz="1100" b="0" i="0" u="none" strike="noStrike">
              <a:solidFill>
                <a:sysClr val="windowText" lastClr="000000"/>
              </a:solidFill>
              <a:effectLst/>
              <a:latin typeface="+mn-lt"/>
              <a:ea typeface="+mn-ea"/>
              <a:cs typeface="+mn-cs"/>
            </a:rPr>
            <a:t>:</a:t>
          </a:r>
          <a:r>
            <a:rPr lang="es-ES" sz="1100" b="0" i="0" u="none" strike="noStrike" baseline="0">
              <a:solidFill>
                <a:sysClr val="windowText" lastClr="000000"/>
              </a:solidFill>
              <a:effectLst/>
              <a:latin typeface="+mn-lt"/>
              <a:ea typeface="+mn-ea"/>
              <a:cs typeface="+mn-cs"/>
            </a:rPr>
            <a:t> Responsable o contacto de la unidad a fabricar. </a:t>
          </a:r>
          <a:endParaRPr lang="es-ES">
            <a:solidFill>
              <a:sysClr val="windowText" lastClr="000000"/>
            </a:solidFill>
          </a:endParaRPr>
        </a:p>
        <a:p>
          <a:pPr algn="l"/>
          <a:r>
            <a:rPr lang="es-ES" sz="1100" b="1" i="0" u="none" strike="noStrike">
              <a:solidFill>
                <a:sysClr val="windowText" lastClr="000000"/>
              </a:solidFill>
              <a:effectLst/>
              <a:latin typeface="+mn-lt"/>
              <a:ea typeface="+mn-ea"/>
              <a:cs typeface="+mn-cs"/>
            </a:rPr>
            <a:t>- Ingenieria Mecánica: </a:t>
          </a:r>
          <a:r>
            <a:rPr lang="es-ES" sz="1100" b="0" i="0" u="none" strike="noStrike">
              <a:solidFill>
                <a:sysClr val="windowText" lastClr="000000"/>
              </a:solidFill>
              <a:effectLst/>
              <a:latin typeface="+mn-lt"/>
              <a:ea typeface="+mn-ea"/>
              <a:cs typeface="+mn-cs"/>
            </a:rPr>
            <a:t>Responsable o contacto de la unidad a fabricar. </a:t>
          </a:r>
        </a:p>
        <a:p>
          <a:pPr algn="l"/>
          <a:r>
            <a:rPr lang="es-ES" sz="1100" b="1" i="0" u="none" strike="noStrike">
              <a:solidFill>
                <a:sysClr val="windowText" lastClr="000000"/>
              </a:solidFill>
              <a:effectLst/>
              <a:latin typeface="+mn-lt"/>
              <a:ea typeface="+mn-ea"/>
              <a:cs typeface="+mn-cs"/>
            </a:rPr>
            <a:t>- Contraseña</a:t>
          </a:r>
          <a:r>
            <a:rPr lang="es-ES" sz="1100" b="0" i="0" u="none" strike="noStrike">
              <a:solidFill>
                <a:sysClr val="windowText" lastClr="000000"/>
              </a:solidFill>
              <a:effectLst/>
              <a:latin typeface="+mn-lt"/>
              <a:ea typeface="+mn-ea"/>
              <a:cs typeface="+mn-cs"/>
            </a:rPr>
            <a:t>:</a:t>
          </a:r>
          <a:r>
            <a:rPr lang="es-ES" sz="1100" b="0" i="0" u="none" strike="noStrike" baseline="0">
              <a:solidFill>
                <a:sysClr val="windowText" lastClr="000000"/>
              </a:solidFill>
              <a:effectLst/>
              <a:latin typeface="+mn-lt"/>
              <a:ea typeface="+mn-ea"/>
              <a:cs typeface="+mn-cs"/>
            </a:rPr>
            <a:t> Sobre la que se imputar el coste de la fabricación. </a:t>
          </a:r>
        </a:p>
        <a:p>
          <a:pPr algn="l"/>
          <a:endParaRPr lang="es-ES" sz="1100" b="0" i="0" u="none" strike="noStrike" baseline="0">
            <a:solidFill>
              <a:sysClr val="windowText" lastClr="000000"/>
            </a:solidFill>
            <a:effectLst/>
            <a:latin typeface="+mn-lt"/>
            <a:ea typeface="+mn-ea"/>
            <a:cs typeface="+mn-cs"/>
          </a:endParaRPr>
        </a:p>
        <a:p>
          <a:pPr algn="l"/>
          <a:r>
            <a:rPr lang="es-ES" sz="1100" b="0" i="0" u="none" strike="noStrike" baseline="0">
              <a:solidFill>
                <a:sysClr val="windowText" lastClr="000000"/>
              </a:solidFill>
              <a:effectLst/>
              <a:latin typeface="+mn-lt"/>
              <a:ea typeface="+mn-ea"/>
              <a:cs typeface="+mn-cs"/>
            </a:rPr>
            <a:t>2. Planificación comprueba que está disponible la LM en SAP y genera una nueva OP, completa los siguientes campos y cambia el estado a </a:t>
          </a:r>
          <a:r>
            <a:rPr lang="es-ES" sz="1100" b="1" i="0" u="none" strike="noStrike">
              <a:solidFill>
                <a:sysClr val="windowText" lastClr="000000"/>
              </a:solidFill>
              <a:effectLst/>
              <a:latin typeface="+mn-lt"/>
              <a:ea typeface="+mn-ea"/>
              <a:cs typeface="+mn-cs"/>
            </a:rPr>
            <a:t>Control Configuración</a:t>
          </a:r>
          <a:r>
            <a:rPr lang="es-ES" sz="1100" b="0" i="0" u="none" strike="noStrike" baseline="0">
              <a:solidFill>
                <a:sysClr val="windowText" lastClr="000000"/>
              </a:solidFill>
              <a:effectLst/>
              <a:latin typeface="+mn-lt"/>
              <a:ea typeface="+mn-ea"/>
              <a:cs typeface="+mn-cs"/>
            </a:rPr>
            <a:t>:</a:t>
          </a:r>
          <a:r>
            <a:rPr lang="es-ES"/>
            <a:t> </a:t>
          </a:r>
        </a:p>
        <a:p>
          <a:pPr algn="l"/>
          <a:endParaRPr lang="es-ES" sz="1100" b="0" i="0" u="none" strike="noStrike" baseline="0">
            <a:solidFill>
              <a:sysClr val="windowText" lastClr="000000"/>
            </a:solidFill>
            <a:effectLst/>
            <a:latin typeface="+mn-lt"/>
            <a:ea typeface="+mn-ea"/>
            <a:cs typeface="+mn-cs"/>
          </a:endParaRPr>
        </a:p>
        <a:p>
          <a:pPr algn="l"/>
          <a:r>
            <a:rPr lang="es-ES" sz="1100" b="0" i="0" u="none" strike="noStrike" baseline="0">
              <a:solidFill>
                <a:sysClr val="windowText" lastClr="000000"/>
              </a:solidFill>
              <a:effectLst/>
              <a:latin typeface="+mn-lt"/>
              <a:ea typeface="+mn-ea"/>
              <a:cs typeface="+mn-cs"/>
            </a:rPr>
            <a:t>- </a:t>
          </a:r>
          <a:r>
            <a:rPr lang="es-ES" sz="1100" b="1" i="0" u="none" strike="noStrike" baseline="0">
              <a:solidFill>
                <a:sysClr val="windowText" lastClr="000000"/>
              </a:solidFill>
              <a:effectLst/>
              <a:latin typeface="+mn-lt"/>
              <a:ea typeface="+mn-ea"/>
              <a:cs typeface="+mn-cs"/>
            </a:rPr>
            <a:t>OP: Número de la OP</a:t>
          </a:r>
        </a:p>
        <a:p>
          <a:pPr algn="l"/>
          <a:r>
            <a:rPr lang="es-ES" sz="1100" b="1" i="0" u="none" strike="noStrike" baseline="0">
              <a:solidFill>
                <a:sysClr val="windowText" lastClr="000000"/>
              </a:solidFill>
              <a:effectLst/>
              <a:latin typeface="+mn-lt"/>
              <a:ea typeface="+mn-ea"/>
              <a:cs typeface="+mn-cs"/>
            </a:rPr>
            <a:t>- OP creada: Fecha de creación de la OP</a:t>
          </a:r>
        </a:p>
        <a:p>
          <a:pPr algn="l"/>
          <a:endParaRPr lang="es-ES" b="1">
            <a:solidFill>
              <a:sysClr val="windowText" lastClr="000000"/>
            </a:solidFill>
          </a:endParaRPr>
        </a:p>
        <a:p>
          <a:pPr algn="l"/>
          <a:r>
            <a:rPr lang="es-ES" sz="1100" b="1" baseline="0">
              <a:solidFill>
                <a:sysClr val="windowText" lastClr="000000"/>
              </a:solidFill>
            </a:rPr>
            <a:t>OJO!! </a:t>
          </a:r>
          <a:r>
            <a:rPr lang="es-ES" sz="1100" b="0" baseline="0">
              <a:solidFill>
                <a:sysClr val="windowText" lastClr="000000"/>
              </a:solidFill>
            </a:rPr>
            <a:t>En la columna P, LM SAP, se proporciona la información sobre el estado de la lista de materiales en SAP. Si el estado es "Disponible" se puede generar la OP, si por el contrario el estado es "No disponible" no se puede generar la OP correspondiente.  Este paso tambien se puede realizar manualmente consultado en SAP, la macro solo busca aquellas unidades que comienzan por 09735...</a:t>
          </a:r>
        </a:p>
        <a:p>
          <a:pPr algn="l"/>
          <a:endParaRPr lang="es-ES" sz="1100" b="0" baseline="0">
            <a:solidFill>
              <a:sysClr val="windowText" lastClr="000000"/>
            </a:solidFill>
          </a:endParaRPr>
        </a:p>
        <a:p>
          <a:pPr algn="l"/>
          <a:r>
            <a:rPr lang="es-ES" sz="1100" b="0" baseline="0">
              <a:solidFill>
                <a:sysClr val="windowText" lastClr="000000"/>
              </a:solidFill>
            </a:rPr>
            <a:t>3- Control de producción, si hay materiales suficientes para la fabricación cambia el estado a </a:t>
          </a:r>
          <a:r>
            <a:rPr lang="es-ES" sz="1100" b="1" baseline="0">
              <a:solidFill>
                <a:sysClr val="windowText" lastClr="000000"/>
              </a:solidFill>
            </a:rPr>
            <a:t>Montaje</a:t>
          </a:r>
          <a:r>
            <a:rPr lang="es-ES" sz="1100" b="0" baseline="0">
              <a:solidFill>
                <a:sysClr val="windowText" lastClr="000000"/>
              </a:solidFill>
            </a:rPr>
            <a:t> y completa la columna OP a producción con la fecha correspondiente. </a:t>
          </a:r>
        </a:p>
        <a:p>
          <a:pPr algn="l"/>
          <a:endParaRPr lang="es-ES" sz="1100" b="0" baseline="0">
            <a:solidFill>
              <a:sysClr val="windowText" lastClr="000000"/>
            </a:solidFill>
          </a:endParaRPr>
        </a:p>
        <a:p>
          <a:pPr algn="l"/>
          <a:r>
            <a:rPr lang="es-ES" sz="1100" b="0" baseline="0">
              <a:solidFill>
                <a:sysClr val="windowText" lastClr="000000"/>
              </a:solidFill>
            </a:rPr>
            <a:t>OJO!! Si no hay stock de materiales suficientes para comenzar con la cambia el estado a </a:t>
          </a:r>
          <a:r>
            <a:rPr lang="es-ES" sz="1100" b="1" baseline="0">
              <a:solidFill>
                <a:sysClr val="windowText" lastClr="000000"/>
              </a:solidFill>
            </a:rPr>
            <a:t>Sin stock de materiales clave</a:t>
          </a:r>
          <a:r>
            <a:rPr lang="es-ES" sz="1100" b="0" baseline="0">
              <a:solidFill>
                <a:sysClr val="windowText" lastClr="000000"/>
              </a:solidFill>
            </a:rPr>
            <a:t>.  </a:t>
          </a:r>
        </a:p>
        <a:p>
          <a:pPr algn="l"/>
          <a:endParaRPr lang="es-ES" sz="1100" b="0" baseline="0">
            <a:solidFill>
              <a:sysClr val="windowText" lastClr="000000"/>
            </a:solidFill>
          </a:endParaRPr>
        </a:p>
        <a:p>
          <a:pPr algn="l"/>
          <a:r>
            <a:rPr lang="es-ES" sz="1100" b="0" baseline="0">
              <a:solidFill>
                <a:sysClr val="windowText" lastClr="000000"/>
              </a:solidFill>
            </a:rPr>
            <a:t>4- El equipo de producción comienza con la fabricación del elemento y si no encuentra ningun inconveniente y finaliza cambia el estado a </a:t>
          </a:r>
          <a:r>
            <a:rPr lang="es-ES" sz="1100" b="1" baseline="0">
              <a:solidFill>
                <a:sysClr val="windowText" lastClr="000000"/>
              </a:solidFill>
            </a:rPr>
            <a:t>Calidad. </a:t>
          </a:r>
        </a:p>
        <a:p>
          <a:pPr algn="l"/>
          <a:endParaRPr lang="es-ES" sz="1100" b="1" baseline="0">
            <a:solidFill>
              <a:sysClr val="windowText" lastClr="000000"/>
            </a:solidFill>
          </a:endParaRPr>
        </a:p>
        <a:p>
          <a:pPr algn="l"/>
          <a:r>
            <a:rPr lang="es-ES" sz="1100" b="1" baseline="0">
              <a:solidFill>
                <a:sysClr val="windowText" lastClr="000000"/>
              </a:solidFill>
            </a:rPr>
            <a:t>OJO!! </a:t>
          </a:r>
          <a:r>
            <a:rPr lang="es-ES" sz="1100" b="0" baseline="0">
              <a:solidFill>
                <a:sysClr val="windowText" lastClr="000000"/>
              </a:solidFill>
            </a:rPr>
            <a:t>Si se detiene el montaje por algun inconveniente, se cambia el estado a </a:t>
          </a:r>
          <a:r>
            <a:rPr lang="es-ES" sz="1100" b="1" baseline="0">
              <a:solidFill>
                <a:sysClr val="windowText" lastClr="000000"/>
              </a:solidFill>
            </a:rPr>
            <a:t>Parada por falta de materiales </a:t>
          </a:r>
          <a:r>
            <a:rPr lang="es-ES" sz="1100" b="0" baseline="0">
              <a:solidFill>
                <a:sysClr val="windowText" lastClr="000000"/>
              </a:solidFill>
            </a:rPr>
            <a:t>o</a:t>
          </a:r>
          <a:r>
            <a:rPr lang="es-ES" sz="1100" b="1" baseline="0">
              <a:solidFill>
                <a:sysClr val="windowText" lastClr="000000"/>
              </a:solidFill>
            </a:rPr>
            <a:t> Parada pendiente de cambios de ingenieria</a:t>
          </a:r>
          <a:r>
            <a:rPr lang="es-ES" sz="1100" b="0" baseline="0">
              <a:solidFill>
                <a:sysClr val="windowText" lastClr="000000"/>
              </a:solidFill>
            </a:rPr>
            <a:t>, segun aplique. </a:t>
          </a:r>
        </a:p>
        <a:p>
          <a:pPr algn="l"/>
          <a:endParaRPr lang="es-ES" sz="1100" b="0" baseline="0">
            <a:solidFill>
              <a:sysClr val="windowText" lastClr="000000"/>
            </a:solidFill>
          </a:endParaRPr>
        </a:p>
        <a:p>
          <a:pPr algn="l"/>
          <a:r>
            <a:rPr lang="es-ES" sz="1100" b="0" baseline="0">
              <a:solidFill>
                <a:sysClr val="windowText" lastClr="000000"/>
              </a:solidFill>
            </a:rPr>
            <a:t>5 El equipo de calidad cambia el estado a </a:t>
          </a:r>
          <a:r>
            <a:rPr lang="es-ES" sz="1100" b="1" baseline="0">
              <a:solidFill>
                <a:sysClr val="windowText" lastClr="000000"/>
              </a:solidFill>
            </a:rPr>
            <a:t>Finalizada</a:t>
          </a:r>
          <a:r>
            <a:rPr lang="es-ES" sz="1100" b="0" baseline="0">
              <a:solidFill>
                <a:sysClr val="windowText" lastClr="000000"/>
              </a:solidFill>
            </a:rPr>
            <a:t>, en el caso de que encuentre no conformidades cambia el estado a </a:t>
          </a:r>
          <a:r>
            <a:rPr lang="es-ES" sz="1100" b="1" baseline="0">
              <a:solidFill>
                <a:sysClr val="windowText" lastClr="000000"/>
              </a:solidFill>
            </a:rPr>
            <a:t>Calidad NO OK</a:t>
          </a:r>
          <a:r>
            <a:rPr lang="es-ES" sz="1100" b="0" baseline="0">
              <a:solidFill>
                <a:sysClr val="windowText" lastClr="000000"/>
              </a:solidFill>
            </a:rPr>
            <a:t>.</a:t>
          </a:r>
        </a:p>
      </xdr:txBody>
    </xdr:sp>
    <xdr:clientData/>
  </xdr:twoCellAnchor>
  <xdr:twoCellAnchor editAs="oneCell">
    <xdr:from>
      <xdr:col>0</xdr:col>
      <xdr:colOff>647699</xdr:colOff>
      <xdr:row>46</xdr:row>
      <xdr:rowOff>21431</xdr:rowOff>
    </xdr:from>
    <xdr:to>
      <xdr:col>27</xdr:col>
      <xdr:colOff>124341</xdr:colOff>
      <xdr:row>75</xdr:row>
      <xdr:rowOff>113347</xdr:rowOff>
    </xdr:to>
    <xdr:pic>
      <xdr:nvPicPr>
        <xdr:cNvPr id="18" name="Imagen 25">
          <a:extLst>
            <a:ext uri="{FF2B5EF4-FFF2-40B4-BE49-F238E27FC236}">
              <a16:creationId xmlns:a16="http://schemas.microsoft.com/office/drawing/2014/main" id="{F64413D5-E249-1796-CD9C-5026D58D3ACF}"/>
            </a:ext>
            <a:ext uri="{147F2762-F138-4A5C-976F-8EAC2B608ADB}">
              <a16:predDERef xmlns:a16="http://schemas.microsoft.com/office/drawing/2014/main" pred="{B7CD5B7E-9085-4BD5-B8F5-7078A75BB2B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47699" y="8784431"/>
          <a:ext cx="20050642" cy="56126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319087</xdr:colOff>
      <xdr:row>3</xdr:row>
      <xdr:rowOff>134304</xdr:rowOff>
    </xdr:from>
    <xdr:to>
      <xdr:col>2</xdr:col>
      <xdr:colOff>357187</xdr:colOff>
      <xdr:row>6</xdr:row>
      <xdr:rowOff>21432</xdr:rowOff>
    </xdr:to>
    <xdr:grpSp>
      <xdr:nvGrpSpPr>
        <xdr:cNvPr id="104" name="Grupo 27">
          <a:extLst>
            <a:ext uri="{FF2B5EF4-FFF2-40B4-BE49-F238E27FC236}">
              <a16:creationId xmlns:a16="http://schemas.microsoft.com/office/drawing/2014/main" id="{155F3069-D65B-49BE-A368-44600CD76BE4}"/>
            </a:ext>
          </a:extLst>
        </xdr:cNvPr>
        <xdr:cNvGrpSpPr/>
      </xdr:nvGrpSpPr>
      <xdr:grpSpPr>
        <a:xfrm>
          <a:off x="319087" y="705804"/>
          <a:ext cx="1562100" cy="458628"/>
          <a:chOff x="5548147" y="1356472"/>
          <a:chExt cx="1680269" cy="463737"/>
        </a:xfrm>
      </xdr:grpSpPr>
      <xdr:sp macro="[0]!ListarControlesSAP" textlink="">
        <xdr:nvSpPr>
          <xdr:cNvPr id="105" name="Rectángulo 28">
            <a:extLst>
              <a:ext uri="{FF2B5EF4-FFF2-40B4-BE49-F238E27FC236}">
                <a16:creationId xmlns:a16="http://schemas.microsoft.com/office/drawing/2014/main" id="{D110ADDD-588D-B982-3DF8-61DE9B48A220}"/>
              </a:ext>
            </a:extLst>
          </xdr:cNvPr>
          <xdr:cNvSpPr/>
        </xdr:nvSpPr>
        <xdr:spPr>
          <a:xfrm>
            <a:off x="5548147" y="1356472"/>
            <a:ext cx="1680269" cy="45508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s-ES" sz="1100"/>
              <a:t>Actualizar LMs SAP</a:t>
            </a:r>
          </a:p>
        </xdr:txBody>
      </xdr:sp>
      <xdr:pic>
        <xdr:nvPicPr>
          <xdr:cNvPr id="106" name="Gráfico 29" descr="Repetir con relleno sólido">
            <a:extLst>
              <a:ext uri="{FF2B5EF4-FFF2-40B4-BE49-F238E27FC236}">
                <a16:creationId xmlns:a16="http://schemas.microsoft.com/office/drawing/2014/main" id="{F46F3EC7-78E2-62BE-6416-70E3C2F2057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584350" y="1408532"/>
            <a:ext cx="399393" cy="411677"/>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35068</xdr:colOff>
      <xdr:row>1</xdr:row>
      <xdr:rowOff>134167</xdr:rowOff>
    </xdr:from>
    <xdr:to>
      <xdr:col>4</xdr:col>
      <xdr:colOff>494999</xdr:colOff>
      <xdr:row>4</xdr:row>
      <xdr:rowOff>26245</xdr:rowOff>
    </xdr:to>
    <xdr:sp macro="" textlink="">
      <xdr:nvSpPr>
        <xdr:cNvPr id="3" name="Freeform 8">
          <a:extLst>
            <a:ext uri="{FF2B5EF4-FFF2-40B4-BE49-F238E27FC236}">
              <a16:creationId xmlns:a16="http://schemas.microsoft.com/office/drawing/2014/main" id="{4AA8BDFA-A7BC-409C-B42D-98238BDCDD98}"/>
            </a:ext>
          </a:extLst>
        </xdr:cNvPr>
        <xdr:cNvSpPr>
          <a:spLocks noEditPoints="1"/>
        </xdr:cNvSpPr>
      </xdr:nvSpPr>
      <xdr:spPr bwMode="auto">
        <a:xfrm>
          <a:off x="384966" y="318835"/>
          <a:ext cx="3472941" cy="514119"/>
        </a:xfrm>
        <a:custGeom>
          <a:avLst/>
          <a:gdLst>
            <a:gd name="T0" fmla="*/ 172 w 4370"/>
            <a:gd name="T1" fmla="*/ 0 h 645"/>
            <a:gd name="T2" fmla="*/ 0 w 4370"/>
            <a:gd name="T3" fmla="*/ 645 h 645"/>
            <a:gd name="T4" fmla="*/ 375 w 4370"/>
            <a:gd name="T5" fmla="*/ 0 h 645"/>
            <a:gd name="T6" fmla="*/ 1018 w 4370"/>
            <a:gd name="T7" fmla="*/ 501 h 645"/>
            <a:gd name="T8" fmla="*/ 1055 w 4370"/>
            <a:gd name="T9" fmla="*/ 0 h 645"/>
            <a:gd name="T10" fmla="*/ 1226 w 4370"/>
            <a:gd name="T11" fmla="*/ 645 h 645"/>
            <a:gd name="T12" fmla="*/ 583 w 4370"/>
            <a:gd name="T13" fmla="*/ 143 h 645"/>
            <a:gd name="T14" fmla="*/ 546 w 4370"/>
            <a:gd name="T15" fmla="*/ 645 h 645"/>
            <a:gd name="T16" fmla="*/ 375 w 4370"/>
            <a:gd name="T17" fmla="*/ 0 h 645"/>
            <a:gd name="T18" fmla="*/ 1926 w 4370"/>
            <a:gd name="T19" fmla="*/ 0 h 645"/>
            <a:gd name="T20" fmla="*/ 1926 w 4370"/>
            <a:gd name="T21" fmla="*/ 645 h 645"/>
            <a:gd name="T22" fmla="*/ 1429 w 4370"/>
            <a:gd name="T23" fmla="*/ 0 h 645"/>
            <a:gd name="T24" fmla="*/ 1926 w 4370"/>
            <a:gd name="T25" fmla="*/ 143 h 645"/>
            <a:gd name="T26" fmla="*/ 1601 w 4370"/>
            <a:gd name="T27" fmla="*/ 501 h 645"/>
            <a:gd name="T28" fmla="*/ 2105 w 4370"/>
            <a:gd name="T29" fmla="*/ 322 h 645"/>
            <a:gd name="T30" fmla="*/ 2979 w 4370"/>
            <a:gd name="T31" fmla="*/ 0 h 645"/>
            <a:gd name="T32" fmla="*/ 3107 w 4370"/>
            <a:gd name="T33" fmla="*/ 444 h 645"/>
            <a:gd name="T34" fmla="*/ 3265 w 4370"/>
            <a:gd name="T35" fmla="*/ 641 h 645"/>
            <a:gd name="T36" fmla="*/ 3068 w 4370"/>
            <a:gd name="T37" fmla="*/ 645 h 645"/>
            <a:gd name="T38" fmla="*/ 2591 w 4370"/>
            <a:gd name="T39" fmla="*/ 463 h 645"/>
            <a:gd name="T40" fmla="*/ 2420 w 4370"/>
            <a:gd name="T41" fmla="*/ 645 h 645"/>
            <a:gd name="T42" fmla="*/ 3086 w 4370"/>
            <a:gd name="T43" fmla="*/ 231 h 645"/>
            <a:gd name="T44" fmla="*/ 2591 w 4370"/>
            <a:gd name="T45" fmla="*/ 143 h 645"/>
            <a:gd name="T46" fmla="*/ 2979 w 4370"/>
            <a:gd name="T47" fmla="*/ 319 h 645"/>
            <a:gd name="T48" fmla="*/ 3358 w 4370"/>
            <a:gd name="T49" fmla="*/ 641 h 645"/>
            <a:gd name="T50" fmla="*/ 3986 w 4370"/>
            <a:gd name="T51" fmla="*/ 0 h 645"/>
            <a:gd name="T52" fmla="*/ 4370 w 4370"/>
            <a:gd name="T53" fmla="*/ 645 h 645"/>
            <a:gd name="T54" fmla="*/ 4110 w 4370"/>
            <a:gd name="T55" fmla="*/ 525 h 645"/>
            <a:gd name="T56" fmla="*/ 3549 w 4370"/>
            <a:gd name="T57" fmla="*/ 645 h 645"/>
            <a:gd name="T58" fmla="*/ 3358 w 4370"/>
            <a:gd name="T59" fmla="*/ 641 h 645"/>
            <a:gd name="T60" fmla="*/ 3892 w 4370"/>
            <a:gd name="T61" fmla="*/ 143 h 645"/>
            <a:gd name="T62" fmla="*/ 3700 w 4370"/>
            <a:gd name="T63" fmla="*/ 381 h 6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Lst>
          <a:rect l="0" t="0" r="r" b="b"/>
          <a:pathLst>
            <a:path w="4370" h="645">
              <a:moveTo>
                <a:pt x="0" y="0"/>
              </a:moveTo>
              <a:cubicBezTo>
                <a:pt x="172" y="0"/>
                <a:pt x="172" y="0"/>
                <a:pt x="172" y="0"/>
              </a:cubicBezTo>
              <a:cubicBezTo>
                <a:pt x="172" y="645"/>
                <a:pt x="172" y="645"/>
                <a:pt x="172" y="645"/>
              </a:cubicBezTo>
              <a:cubicBezTo>
                <a:pt x="0" y="645"/>
                <a:pt x="0" y="645"/>
                <a:pt x="0" y="645"/>
              </a:cubicBezTo>
              <a:lnTo>
                <a:pt x="0" y="0"/>
              </a:lnTo>
              <a:close/>
              <a:moveTo>
                <a:pt x="375" y="0"/>
              </a:moveTo>
              <a:cubicBezTo>
                <a:pt x="682" y="0"/>
                <a:pt x="682" y="0"/>
                <a:pt x="682" y="0"/>
              </a:cubicBezTo>
              <a:cubicBezTo>
                <a:pt x="1018" y="501"/>
                <a:pt x="1018" y="501"/>
                <a:pt x="1018" y="501"/>
              </a:cubicBezTo>
              <a:cubicBezTo>
                <a:pt x="1055" y="501"/>
                <a:pt x="1055" y="501"/>
                <a:pt x="1055" y="501"/>
              </a:cubicBezTo>
              <a:cubicBezTo>
                <a:pt x="1055" y="0"/>
                <a:pt x="1055" y="0"/>
                <a:pt x="1055" y="0"/>
              </a:cubicBezTo>
              <a:cubicBezTo>
                <a:pt x="1226" y="0"/>
                <a:pt x="1226" y="0"/>
                <a:pt x="1226" y="0"/>
              </a:cubicBezTo>
              <a:cubicBezTo>
                <a:pt x="1226" y="645"/>
                <a:pt x="1226" y="645"/>
                <a:pt x="1226" y="645"/>
              </a:cubicBezTo>
              <a:cubicBezTo>
                <a:pt x="919" y="645"/>
                <a:pt x="919" y="645"/>
                <a:pt x="919" y="645"/>
              </a:cubicBezTo>
              <a:cubicBezTo>
                <a:pt x="583" y="143"/>
                <a:pt x="583" y="143"/>
                <a:pt x="583" y="143"/>
              </a:cubicBezTo>
              <a:cubicBezTo>
                <a:pt x="546" y="143"/>
                <a:pt x="546" y="143"/>
                <a:pt x="546" y="143"/>
              </a:cubicBezTo>
              <a:cubicBezTo>
                <a:pt x="546" y="645"/>
                <a:pt x="546" y="645"/>
                <a:pt x="546" y="645"/>
              </a:cubicBezTo>
              <a:cubicBezTo>
                <a:pt x="375" y="645"/>
                <a:pt x="375" y="645"/>
                <a:pt x="375" y="645"/>
              </a:cubicBezTo>
              <a:lnTo>
                <a:pt x="375" y="0"/>
              </a:lnTo>
              <a:close/>
              <a:moveTo>
                <a:pt x="1429" y="0"/>
              </a:moveTo>
              <a:cubicBezTo>
                <a:pt x="1926" y="0"/>
                <a:pt x="1926" y="0"/>
                <a:pt x="1926" y="0"/>
              </a:cubicBezTo>
              <a:cubicBezTo>
                <a:pt x="2147" y="0"/>
                <a:pt x="2281" y="122"/>
                <a:pt x="2281" y="322"/>
              </a:cubicBezTo>
              <a:cubicBezTo>
                <a:pt x="2281" y="522"/>
                <a:pt x="2147" y="645"/>
                <a:pt x="1926" y="645"/>
              </a:cubicBezTo>
              <a:cubicBezTo>
                <a:pt x="1429" y="645"/>
                <a:pt x="1429" y="645"/>
                <a:pt x="1429" y="645"/>
              </a:cubicBezTo>
              <a:lnTo>
                <a:pt x="1429" y="0"/>
              </a:lnTo>
              <a:close/>
              <a:moveTo>
                <a:pt x="2105" y="322"/>
              </a:moveTo>
              <a:cubicBezTo>
                <a:pt x="2105" y="206"/>
                <a:pt x="2042" y="143"/>
                <a:pt x="1926" y="143"/>
              </a:cubicBezTo>
              <a:cubicBezTo>
                <a:pt x="1601" y="143"/>
                <a:pt x="1601" y="143"/>
                <a:pt x="1601" y="143"/>
              </a:cubicBezTo>
              <a:cubicBezTo>
                <a:pt x="1601" y="501"/>
                <a:pt x="1601" y="501"/>
                <a:pt x="1601" y="501"/>
              </a:cubicBezTo>
              <a:cubicBezTo>
                <a:pt x="1926" y="501"/>
                <a:pt x="1926" y="501"/>
                <a:pt x="1926" y="501"/>
              </a:cubicBezTo>
              <a:cubicBezTo>
                <a:pt x="2042" y="501"/>
                <a:pt x="2105" y="439"/>
                <a:pt x="2105" y="322"/>
              </a:cubicBezTo>
              <a:close/>
              <a:moveTo>
                <a:pt x="2420" y="0"/>
              </a:moveTo>
              <a:cubicBezTo>
                <a:pt x="2979" y="0"/>
                <a:pt x="2979" y="0"/>
                <a:pt x="2979" y="0"/>
              </a:cubicBezTo>
              <a:cubicBezTo>
                <a:pt x="3157" y="0"/>
                <a:pt x="3262" y="85"/>
                <a:pt x="3262" y="231"/>
              </a:cubicBezTo>
              <a:cubicBezTo>
                <a:pt x="3262" y="337"/>
                <a:pt x="3205" y="412"/>
                <a:pt x="3107" y="444"/>
              </a:cubicBezTo>
              <a:cubicBezTo>
                <a:pt x="3107" y="459"/>
                <a:pt x="3107" y="459"/>
                <a:pt x="3107" y="459"/>
              </a:cubicBezTo>
              <a:cubicBezTo>
                <a:pt x="3265" y="641"/>
                <a:pt x="3265" y="641"/>
                <a:pt x="3265" y="641"/>
              </a:cubicBezTo>
              <a:cubicBezTo>
                <a:pt x="3265" y="645"/>
                <a:pt x="3265" y="645"/>
                <a:pt x="3265" y="645"/>
              </a:cubicBezTo>
              <a:cubicBezTo>
                <a:pt x="3068" y="645"/>
                <a:pt x="3068" y="645"/>
                <a:pt x="3068" y="645"/>
              </a:cubicBezTo>
              <a:cubicBezTo>
                <a:pt x="2913" y="463"/>
                <a:pt x="2913" y="463"/>
                <a:pt x="2913" y="463"/>
              </a:cubicBezTo>
              <a:cubicBezTo>
                <a:pt x="2591" y="463"/>
                <a:pt x="2591" y="463"/>
                <a:pt x="2591" y="463"/>
              </a:cubicBezTo>
              <a:cubicBezTo>
                <a:pt x="2591" y="645"/>
                <a:pt x="2591" y="645"/>
                <a:pt x="2591" y="645"/>
              </a:cubicBezTo>
              <a:cubicBezTo>
                <a:pt x="2420" y="645"/>
                <a:pt x="2420" y="645"/>
                <a:pt x="2420" y="645"/>
              </a:cubicBezTo>
              <a:lnTo>
                <a:pt x="2420" y="0"/>
              </a:lnTo>
              <a:close/>
              <a:moveTo>
                <a:pt x="3086" y="231"/>
              </a:moveTo>
              <a:cubicBezTo>
                <a:pt x="3086" y="175"/>
                <a:pt x="3048" y="143"/>
                <a:pt x="2979" y="143"/>
              </a:cubicBezTo>
              <a:cubicBezTo>
                <a:pt x="2591" y="143"/>
                <a:pt x="2591" y="143"/>
                <a:pt x="2591" y="143"/>
              </a:cubicBezTo>
              <a:cubicBezTo>
                <a:pt x="2591" y="319"/>
                <a:pt x="2591" y="319"/>
                <a:pt x="2591" y="319"/>
              </a:cubicBezTo>
              <a:cubicBezTo>
                <a:pt x="2979" y="319"/>
                <a:pt x="2979" y="319"/>
                <a:pt x="2979" y="319"/>
              </a:cubicBezTo>
              <a:cubicBezTo>
                <a:pt x="3048" y="319"/>
                <a:pt x="3086" y="287"/>
                <a:pt x="3086" y="231"/>
              </a:cubicBezTo>
              <a:close/>
              <a:moveTo>
                <a:pt x="3358" y="641"/>
              </a:moveTo>
              <a:cubicBezTo>
                <a:pt x="3742" y="0"/>
                <a:pt x="3742" y="0"/>
                <a:pt x="3742" y="0"/>
              </a:cubicBezTo>
              <a:cubicBezTo>
                <a:pt x="3986" y="0"/>
                <a:pt x="3986" y="0"/>
                <a:pt x="3986" y="0"/>
              </a:cubicBezTo>
              <a:cubicBezTo>
                <a:pt x="4370" y="641"/>
                <a:pt x="4370" y="641"/>
                <a:pt x="4370" y="641"/>
              </a:cubicBezTo>
              <a:cubicBezTo>
                <a:pt x="4370" y="645"/>
                <a:pt x="4370" y="645"/>
                <a:pt x="4370" y="645"/>
              </a:cubicBezTo>
              <a:cubicBezTo>
                <a:pt x="4179" y="645"/>
                <a:pt x="4179" y="645"/>
                <a:pt x="4179" y="645"/>
              </a:cubicBezTo>
              <a:cubicBezTo>
                <a:pt x="4110" y="525"/>
                <a:pt x="4110" y="525"/>
                <a:pt x="4110" y="525"/>
              </a:cubicBezTo>
              <a:cubicBezTo>
                <a:pt x="3618" y="525"/>
                <a:pt x="3618" y="525"/>
                <a:pt x="3618" y="525"/>
              </a:cubicBezTo>
              <a:cubicBezTo>
                <a:pt x="3549" y="645"/>
                <a:pt x="3549" y="645"/>
                <a:pt x="3549" y="645"/>
              </a:cubicBezTo>
              <a:cubicBezTo>
                <a:pt x="3358" y="645"/>
                <a:pt x="3358" y="645"/>
                <a:pt x="3358" y="645"/>
              </a:cubicBezTo>
              <a:lnTo>
                <a:pt x="3358" y="641"/>
              </a:lnTo>
              <a:close/>
              <a:moveTo>
                <a:pt x="4028" y="381"/>
              </a:moveTo>
              <a:cubicBezTo>
                <a:pt x="3892" y="143"/>
                <a:pt x="3892" y="143"/>
                <a:pt x="3892" y="143"/>
              </a:cubicBezTo>
              <a:cubicBezTo>
                <a:pt x="3836" y="143"/>
                <a:pt x="3836" y="143"/>
                <a:pt x="3836" y="143"/>
              </a:cubicBezTo>
              <a:cubicBezTo>
                <a:pt x="3700" y="381"/>
                <a:pt x="3700" y="381"/>
                <a:pt x="3700" y="381"/>
              </a:cubicBezTo>
              <a:lnTo>
                <a:pt x="4028" y="381"/>
              </a:lnTo>
              <a:close/>
            </a:path>
          </a:pathLst>
        </a:custGeom>
        <a:solidFill>
          <a:srgbClr val="FFFFFF"/>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s-E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279399</xdr:colOff>
      <xdr:row>1</xdr:row>
      <xdr:rowOff>165100</xdr:rowOff>
    </xdr:from>
    <xdr:to>
      <xdr:col>2</xdr:col>
      <xdr:colOff>1386199</xdr:colOff>
      <xdr:row>2</xdr:row>
      <xdr:rowOff>165100</xdr:rowOff>
    </xdr:to>
    <xdr:sp macro="" textlink="">
      <xdr:nvSpPr>
        <xdr:cNvPr id="2" name="Freeform 8">
          <a:extLst>
            <a:ext uri="{FF2B5EF4-FFF2-40B4-BE49-F238E27FC236}">
              <a16:creationId xmlns:a16="http://schemas.microsoft.com/office/drawing/2014/main" id="{46204193-13C7-4DB1-BCAE-62BC3A55A1F6}"/>
            </a:ext>
          </a:extLst>
        </xdr:cNvPr>
        <xdr:cNvSpPr>
          <a:spLocks noEditPoints="1"/>
        </xdr:cNvSpPr>
      </xdr:nvSpPr>
      <xdr:spPr bwMode="auto">
        <a:xfrm>
          <a:off x="279399" y="355600"/>
          <a:ext cx="3270880" cy="487680"/>
        </a:xfrm>
        <a:custGeom>
          <a:avLst/>
          <a:gdLst>
            <a:gd name="T0" fmla="*/ 172 w 4370"/>
            <a:gd name="T1" fmla="*/ 0 h 645"/>
            <a:gd name="T2" fmla="*/ 0 w 4370"/>
            <a:gd name="T3" fmla="*/ 645 h 645"/>
            <a:gd name="T4" fmla="*/ 375 w 4370"/>
            <a:gd name="T5" fmla="*/ 0 h 645"/>
            <a:gd name="T6" fmla="*/ 1018 w 4370"/>
            <a:gd name="T7" fmla="*/ 501 h 645"/>
            <a:gd name="T8" fmla="*/ 1055 w 4370"/>
            <a:gd name="T9" fmla="*/ 0 h 645"/>
            <a:gd name="T10" fmla="*/ 1226 w 4370"/>
            <a:gd name="T11" fmla="*/ 645 h 645"/>
            <a:gd name="T12" fmla="*/ 583 w 4370"/>
            <a:gd name="T13" fmla="*/ 143 h 645"/>
            <a:gd name="T14" fmla="*/ 546 w 4370"/>
            <a:gd name="T15" fmla="*/ 645 h 645"/>
            <a:gd name="T16" fmla="*/ 375 w 4370"/>
            <a:gd name="T17" fmla="*/ 0 h 645"/>
            <a:gd name="T18" fmla="*/ 1926 w 4370"/>
            <a:gd name="T19" fmla="*/ 0 h 645"/>
            <a:gd name="T20" fmla="*/ 1926 w 4370"/>
            <a:gd name="T21" fmla="*/ 645 h 645"/>
            <a:gd name="T22" fmla="*/ 1429 w 4370"/>
            <a:gd name="T23" fmla="*/ 0 h 645"/>
            <a:gd name="T24" fmla="*/ 1926 w 4370"/>
            <a:gd name="T25" fmla="*/ 143 h 645"/>
            <a:gd name="T26" fmla="*/ 1601 w 4370"/>
            <a:gd name="T27" fmla="*/ 501 h 645"/>
            <a:gd name="T28" fmla="*/ 2105 w 4370"/>
            <a:gd name="T29" fmla="*/ 322 h 645"/>
            <a:gd name="T30" fmla="*/ 2979 w 4370"/>
            <a:gd name="T31" fmla="*/ 0 h 645"/>
            <a:gd name="T32" fmla="*/ 3107 w 4370"/>
            <a:gd name="T33" fmla="*/ 444 h 645"/>
            <a:gd name="T34" fmla="*/ 3265 w 4370"/>
            <a:gd name="T35" fmla="*/ 641 h 645"/>
            <a:gd name="T36" fmla="*/ 3068 w 4370"/>
            <a:gd name="T37" fmla="*/ 645 h 645"/>
            <a:gd name="T38" fmla="*/ 2591 w 4370"/>
            <a:gd name="T39" fmla="*/ 463 h 645"/>
            <a:gd name="T40" fmla="*/ 2420 w 4370"/>
            <a:gd name="T41" fmla="*/ 645 h 645"/>
            <a:gd name="T42" fmla="*/ 3086 w 4370"/>
            <a:gd name="T43" fmla="*/ 231 h 645"/>
            <a:gd name="T44" fmla="*/ 2591 w 4370"/>
            <a:gd name="T45" fmla="*/ 143 h 645"/>
            <a:gd name="T46" fmla="*/ 2979 w 4370"/>
            <a:gd name="T47" fmla="*/ 319 h 645"/>
            <a:gd name="T48" fmla="*/ 3358 w 4370"/>
            <a:gd name="T49" fmla="*/ 641 h 645"/>
            <a:gd name="T50" fmla="*/ 3986 w 4370"/>
            <a:gd name="T51" fmla="*/ 0 h 645"/>
            <a:gd name="T52" fmla="*/ 4370 w 4370"/>
            <a:gd name="T53" fmla="*/ 645 h 645"/>
            <a:gd name="T54" fmla="*/ 4110 w 4370"/>
            <a:gd name="T55" fmla="*/ 525 h 645"/>
            <a:gd name="T56" fmla="*/ 3549 w 4370"/>
            <a:gd name="T57" fmla="*/ 645 h 645"/>
            <a:gd name="T58" fmla="*/ 3358 w 4370"/>
            <a:gd name="T59" fmla="*/ 641 h 645"/>
            <a:gd name="T60" fmla="*/ 3892 w 4370"/>
            <a:gd name="T61" fmla="*/ 143 h 645"/>
            <a:gd name="T62" fmla="*/ 3700 w 4370"/>
            <a:gd name="T63" fmla="*/ 381 h 6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Lst>
          <a:rect l="0" t="0" r="r" b="b"/>
          <a:pathLst>
            <a:path w="4370" h="645">
              <a:moveTo>
                <a:pt x="0" y="0"/>
              </a:moveTo>
              <a:cubicBezTo>
                <a:pt x="172" y="0"/>
                <a:pt x="172" y="0"/>
                <a:pt x="172" y="0"/>
              </a:cubicBezTo>
              <a:cubicBezTo>
                <a:pt x="172" y="645"/>
                <a:pt x="172" y="645"/>
                <a:pt x="172" y="645"/>
              </a:cubicBezTo>
              <a:cubicBezTo>
                <a:pt x="0" y="645"/>
                <a:pt x="0" y="645"/>
                <a:pt x="0" y="645"/>
              </a:cubicBezTo>
              <a:lnTo>
                <a:pt x="0" y="0"/>
              </a:lnTo>
              <a:close/>
              <a:moveTo>
                <a:pt x="375" y="0"/>
              </a:moveTo>
              <a:cubicBezTo>
                <a:pt x="682" y="0"/>
                <a:pt x="682" y="0"/>
                <a:pt x="682" y="0"/>
              </a:cubicBezTo>
              <a:cubicBezTo>
                <a:pt x="1018" y="501"/>
                <a:pt x="1018" y="501"/>
                <a:pt x="1018" y="501"/>
              </a:cubicBezTo>
              <a:cubicBezTo>
                <a:pt x="1055" y="501"/>
                <a:pt x="1055" y="501"/>
                <a:pt x="1055" y="501"/>
              </a:cubicBezTo>
              <a:cubicBezTo>
                <a:pt x="1055" y="0"/>
                <a:pt x="1055" y="0"/>
                <a:pt x="1055" y="0"/>
              </a:cubicBezTo>
              <a:cubicBezTo>
                <a:pt x="1226" y="0"/>
                <a:pt x="1226" y="0"/>
                <a:pt x="1226" y="0"/>
              </a:cubicBezTo>
              <a:cubicBezTo>
                <a:pt x="1226" y="645"/>
                <a:pt x="1226" y="645"/>
                <a:pt x="1226" y="645"/>
              </a:cubicBezTo>
              <a:cubicBezTo>
                <a:pt x="919" y="645"/>
                <a:pt x="919" y="645"/>
                <a:pt x="919" y="645"/>
              </a:cubicBezTo>
              <a:cubicBezTo>
                <a:pt x="583" y="143"/>
                <a:pt x="583" y="143"/>
                <a:pt x="583" y="143"/>
              </a:cubicBezTo>
              <a:cubicBezTo>
                <a:pt x="546" y="143"/>
                <a:pt x="546" y="143"/>
                <a:pt x="546" y="143"/>
              </a:cubicBezTo>
              <a:cubicBezTo>
                <a:pt x="546" y="645"/>
                <a:pt x="546" y="645"/>
                <a:pt x="546" y="645"/>
              </a:cubicBezTo>
              <a:cubicBezTo>
                <a:pt x="375" y="645"/>
                <a:pt x="375" y="645"/>
                <a:pt x="375" y="645"/>
              </a:cubicBezTo>
              <a:lnTo>
                <a:pt x="375" y="0"/>
              </a:lnTo>
              <a:close/>
              <a:moveTo>
                <a:pt x="1429" y="0"/>
              </a:moveTo>
              <a:cubicBezTo>
                <a:pt x="1926" y="0"/>
                <a:pt x="1926" y="0"/>
                <a:pt x="1926" y="0"/>
              </a:cubicBezTo>
              <a:cubicBezTo>
                <a:pt x="2147" y="0"/>
                <a:pt x="2281" y="122"/>
                <a:pt x="2281" y="322"/>
              </a:cubicBezTo>
              <a:cubicBezTo>
                <a:pt x="2281" y="522"/>
                <a:pt x="2147" y="645"/>
                <a:pt x="1926" y="645"/>
              </a:cubicBezTo>
              <a:cubicBezTo>
                <a:pt x="1429" y="645"/>
                <a:pt x="1429" y="645"/>
                <a:pt x="1429" y="645"/>
              </a:cubicBezTo>
              <a:lnTo>
                <a:pt x="1429" y="0"/>
              </a:lnTo>
              <a:close/>
              <a:moveTo>
                <a:pt x="2105" y="322"/>
              </a:moveTo>
              <a:cubicBezTo>
                <a:pt x="2105" y="206"/>
                <a:pt x="2042" y="143"/>
                <a:pt x="1926" y="143"/>
              </a:cubicBezTo>
              <a:cubicBezTo>
                <a:pt x="1601" y="143"/>
                <a:pt x="1601" y="143"/>
                <a:pt x="1601" y="143"/>
              </a:cubicBezTo>
              <a:cubicBezTo>
                <a:pt x="1601" y="501"/>
                <a:pt x="1601" y="501"/>
                <a:pt x="1601" y="501"/>
              </a:cubicBezTo>
              <a:cubicBezTo>
                <a:pt x="1926" y="501"/>
                <a:pt x="1926" y="501"/>
                <a:pt x="1926" y="501"/>
              </a:cubicBezTo>
              <a:cubicBezTo>
                <a:pt x="2042" y="501"/>
                <a:pt x="2105" y="439"/>
                <a:pt x="2105" y="322"/>
              </a:cubicBezTo>
              <a:close/>
              <a:moveTo>
                <a:pt x="2420" y="0"/>
              </a:moveTo>
              <a:cubicBezTo>
                <a:pt x="2979" y="0"/>
                <a:pt x="2979" y="0"/>
                <a:pt x="2979" y="0"/>
              </a:cubicBezTo>
              <a:cubicBezTo>
                <a:pt x="3157" y="0"/>
                <a:pt x="3262" y="85"/>
                <a:pt x="3262" y="231"/>
              </a:cubicBezTo>
              <a:cubicBezTo>
                <a:pt x="3262" y="337"/>
                <a:pt x="3205" y="412"/>
                <a:pt x="3107" y="444"/>
              </a:cubicBezTo>
              <a:cubicBezTo>
                <a:pt x="3107" y="459"/>
                <a:pt x="3107" y="459"/>
                <a:pt x="3107" y="459"/>
              </a:cubicBezTo>
              <a:cubicBezTo>
                <a:pt x="3265" y="641"/>
                <a:pt x="3265" y="641"/>
                <a:pt x="3265" y="641"/>
              </a:cubicBezTo>
              <a:cubicBezTo>
                <a:pt x="3265" y="645"/>
                <a:pt x="3265" y="645"/>
                <a:pt x="3265" y="645"/>
              </a:cubicBezTo>
              <a:cubicBezTo>
                <a:pt x="3068" y="645"/>
                <a:pt x="3068" y="645"/>
                <a:pt x="3068" y="645"/>
              </a:cubicBezTo>
              <a:cubicBezTo>
                <a:pt x="2913" y="463"/>
                <a:pt x="2913" y="463"/>
                <a:pt x="2913" y="463"/>
              </a:cubicBezTo>
              <a:cubicBezTo>
                <a:pt x="2591" y="463"/>
                <a:pt x="2591" y="463"/>
                <a:pt x="2591" y="463"/>
              </a:cubicBezTo>
              <a:cubicBezTo>
                <a:pt x="2591" y="645"/>
                <a:pt x="2591" y="645"/>
                <a:pt x="2591" y="645"/>
              </a:cubicBezTo>
              <a:cubicBezTo>
                <a:pt x="2420" y="645"/>
                <a:pt x="2420" y="645"/>
                <a:pt x="2420" y="645"/>
              </a:cubicBezTo>
              <a:lnTo>
                <a:pt x="2420" y="0"/>
              </a:lnTo>
              <a:close/>
              <a:moveTo>
                <a:pt x="3086" y="231"/>
              </a:moveTo>
              <a:cubicBezTo>
                <a:pt x="3086" y="175"/>
                <a:pt x="3048" y="143"/>
                <a:pt x="2979" y="143"/>
              </a:cubicBezTo>
              <a:cubicBezTo>
                <a:pt x="2591" y="143"/>
                <a:pt x="2591" y="143"/>
                <a:pt x="2591" y="143"/>
              </a:cubicBezTo>
              <a:cubicBezTo>
                <a:pt x="2591" y="319"/>
                <a:pt x="2591" y="319"/>
                <a:pt x="2591" y="319"/>
              </a:cubicBezTo>
              <a:cubicBezTo>
                <a:pt x="2979" y="319"/>
                <a:pt x="2979" y="319"/>
                <a:pt x="2979" y="319"/>
              </a:cubicBezTo>
              <a:cubicBezTo>
                <a:pt x="3048" y="319"/>
                <a:pt x="3086" y="287"/>
                <a:pt x="3086" y="231"/>
              </a:cubicBezTo>
              <a:close/>
              <a:moveTo>
                <a:pt x="3358" y="641"/>
              </a:moveTo>
              <a:cubicBezTo>
                <a:pt x="3742" y="0"/>
                <a:pt x="3742" y="0"/>
                <a:pt x="3742" y="0"/>
              </a:cubicBezTo>
              <a:cubicBezTo>
                <a:pt x="3986" y="0"/>
                <a:pt x="3986" y="0"/>
                <a:pt x="3986" y="0"/>
              </a:cubicBezTo>
              <a:cubicBezTo>
                <a:pt x="4370" y="641"/>
                <a:pt x="4370" y="641"/>
                <a:pt x="4370" y="641"/>
              </a:cubicBezTo>
              <a:cubicBezTo>
                <a:pt x="4370" y="645"/>
                <a:pt x="4370" y="645"/>
                <a:pt x="4370" y="645"/>
              </a:cubicBezTo>
              <a:cubicBezTo>
                <a:pt x="4179" y="645"/>
                <a:pt x="4179" y="645"/>
                <a:pt x="4179" y="645"/>
              </a:cubicBezTo>
              <a:cubicBezTo>
                <a:pt x="4110" y="525"/>
                <a:pt x="4110" y="525"/>
                <a:pt x="4110" y="525"/>
              </a:cubicBezTo>
              <a:cubicBezTo>
                <a:pt x="3618" y="525"/>
                <a:pt x="3618" y="525"/>
                <a:pt x="3618" y="525"/>
              </a:cubicBezTo>
              <a:cubicBezTo>
                <a:pt x="3549" y="645"/>
                <a:pt x="3549" y="645"/>
                <a:pt x="3549" y="645"/>
              </a:cubicBezTo>
              <a:cubicBezTo>
                <a:pt x="3358" y="645"/>
                <a:pt x="3358" y="645"/>
                <a:pt x="3358" y="645"/>
              </a:cubicBezTo>
              <a:lnTo>
                <a:pt x="3358" y="641"/>
              </a:lnTo>
              <a:close/>
              <a:moveTo>
                <a:pt x="4028" y="381"/>
              </a:moveTo>
              <a:cubicBezTo>
                <a:pt x="3892" y="143"/>
                <a:pt x="3892" y="143"/>
                <a:pt x="3892" y="143"/>
              </a:cubicBezTo>
              <a:cubicBezTo>
                <a:pt x="3836" y="143"/>
                <a:pt x="3836" y="143"/>
                <a:pt x="3836" y="143"/>
              </a:cubicBezTo>
              <a:cubicBezTo>
                <a:pt x="3700" y="381"/>
                <a:pt x="3700" y="381"/>
                <a:pt x="3700" y="381"/>
              </a:cubicBezTo>
              <a:lnTo>
                <a:pt x="4028" y="381"/>
              </a:lnTo>
              <a:close/>
            </a:path>
          </a:pathLst>
        </a:custGeom>
        <a:solidFill>
          <a:srgbClr val="FFFFFF"/>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s-ES"/>
        </a:p>
      </xdr:txBody>
    </xdr:sp>
    <xdr:clientData/>
  </xdr:twoCellAnchor>
  <xdr:twoCellAnchor>
    <xdr:from>
      <xdr:col>12</xdr:col>
      <xdr:colOff>276860</xdr:colOff>
      <xdr:row>1</xdr:row>
      <xdr:rowOff>12700</xdr:rowOff>
    </xdr:from>
    <xdr:to>
      <xdr:col>13</xdr:col>
      <xdr:colOff>1098550</xdr:colOff>
      <xdr:row>3</xdr:row>
      <xdr:rowOff>62452</xdr:rowOff>
    </xdr:to>
    <xdr:grpSp>
      <xdr:nvGrpSpPr>
        <xdr:cNvPr id="3" name="Grupo 2">
          <a:extLst>
            <a:ext uri="{FF2B5EF4-FFF2-40B4-BE49-F238E27FC236}">
              <a16:creationId xmlns:a16="http://schemas.microsoft.com/office/drawing/2014/main" id="{B4E20C0E-FA62-4B1E-B19C-B19F17E65819}"/>
            </a:ext>
          </a:extLst>
        </xdr:cNvPr>
        <xdr:cNvGrpSpPr/>
      </xdr:nvGrpSpPr>
      <xdr:grpSpPr>
        <a:xfrm>
          <a:off x="16310610" y="213783"/>
          <a:ext cx="1985857" cy="843502"/>
          <a:chOff x="16484600" y="220758"/>
          <a:chExt cx="1993900" cy="807942"/>
        </a:xfrm>
      </xdr:grpSpPr>
      <xdr:sp macro="[0]!ListarControlesSAP" textlink="">
        <xdr:nvSpPr>
          <xdr:cNvPr id="4" name="Rectángulo 15">
            <a:extLst>
              <a:ext uri="{FF2B5EF4-FFF2-40B4-BE49-F238E27FC236}">
                <a16:creationId xmlns:a16="http://schemas.microsoft.com/office/drawing/2014/main" id="{4041F8B7-C3B2-99BF-4B3A-13B8B033EF17}"/>
              </a:ext>
            </a:extLst>
          </xdr:cNvPr>
          <xdr:cNvSpPr/>
        </xdr:nvSpPr>
        <xdr:spPr>
          <a:xfrm>
            <a:off x="16484600" y="220758"/>
            <a:ext cx="1993900" cy="755475"/>
          </a:xfrm>
          <a:prstGeom prst="rect">
            <a:avLst/>
          </a:prstGeom>
          <a:solidFill>
            <a:srgbClr val="05739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s-ES" sz="1600"/>
          </a:p>
        </xdr:txBody>
      </xdr:sp>
      <xdr:pic macro="[0]!ListarControlesSAP">
        <xdr:nvPicPr>
          <xdr:cNvPr id="5" name="Gráfico 16" descr="Repetir con relleno sólido">
            <a:extLst>
              <a:ext uri="{FF2B5EF4-FFF2-40B4-BE49-F238E27FC236}">
                <a16:creationId xmlns:a16="http://schemas.microsoft.com/office/drawing/2014/main" id="{92F96CAC-DC88-34AC-CDAE-34D54A54435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555007" y="256382"/>
            <a:ext cx="729693" cy="683417"/>
          </a:xfrm>
          <a:prstGeom prst="rect">
            <a:avLst/>
          </a:prstGeom>
        </xdr:spPr>
      </xdr:pic>
      <xdr:sp macro="[0]!ListarControlesSAP" textlink="">
        <xdr:nvSpPr>
          <xdr:cNvPr id="6" name="Rectángulo 5">
            <a:extLst>
              <a:ext uri="{FF2B5EF4-FFF2-40B4-BE49-F238E27FC236}">
                <a16:creationId xmlns:a16="http://schemas.microsoft.com/office/drawing/2014/main" id="{8E4C0966-E408-EB29-DE84-1D1E6398852C}"/>
              </a:ext>
            </a:extLst>
          </xdr:cNvPr>
          <xdr:cNvSpPr/>
        </xdr:nvSpPr>
        <xdr:spPr>
          <a:xfrm>
            <a:off x="17284700" y="266700"/>
            <a:ext cx="1181100" cy="762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ES" sz="1800" b="1">
                <a:latin typeface="+mn-lt"/>
              </a:rPr>
              <a:t>Actualizar SAP</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78422</xdr:colOff>
      <xdr:row>1</xdr:row>
      <xdr:rowOff>49847</xdr:rowOff>
    </xdr:from>
    <xdr:to>
      <xdr:col>4</xdr:col>
      <xdr:colOff>1405814</xdr:colOff>
      <xdr:row>2</xdr:row>
      <xdr:rowOff>80962</xdr:rowOff>
    </xdr:to>
    <xdr:sp macro="" textlink="">
      <xdr:nvSpPr>
        <xdr:cNvPr id="2" name="Freeform 8">
          <a:extLst>
            <a:ext uri="{FF2B5EF4-FFF2-40B4-BE49-F238E27FC236}">
              <a16:creationId xmlns:a16="http://schemas.microsoft.com/office/drawing/2014/main" id="{9EB8D3CE-269F-4384-9086-43A0FA8B3BDC}"/>
            </a:ext>
          </a:extLst>
        </xdr:cNvPr>
        <xdr:cNvSpPr>
          <a:spLocks noEditPoints="1"/>
        </xdr:cNvSpPr>
      </xdr:nvSpPr>
      <xdr:spPr bwMode="auto">
        <a:xfrm>
          <a:off x="245110" y="240347"/>
          <a:ext cx="3494329" cy="507365"/>
        </a:xfrm>
        <a:custGeom>
          <a:avLst/>
          <a:gdLst>
            <a:gd name="T0" fmla="*/ 172 w 4370"/>
            <a:gd name="T1" fmla="*/ 0 h 645"/>
            <a:gd name="T2" fmla="*/ 0 w 4370"/>
            <a:gd name="T3" fmla="*/ 645 h 645"/>
            <a:gd name="T4" fmla="*/ 375 w 4370"/>
            <a:gd name="T5" fmla="*/ 0 h 645"/>
            <a:gd name="T6" fmla="*/ 1018 w 4370"/>
            <a:gd name="T7" fmla="*/ 501 h 645"/>
            <a:gd name="T8" fmla="*/ 1055 w 4370"/>
            <a:gd name="T9" fmla="*/ 0 h 645"/>
            <a:gd name="T10" fmla="*/ 1226 w 4370"/>
            <a:gd name="T11" fmla="*/ 645 h 645"/>
            <a:gd name="T12" fmla="*/ 583 w 4370"/>
            <a:gd name="T13" fmla="*/ 143 h 645"/>
            <a:gd name="T14" fmla="*/ 546 w 4370"/>
            <a:gd name="T15" fmla="*/ 645 h 645"/>
            <a:gd name="T16" fmla="*/ 375 w 4370"/>
            <a:gd name="T17" fmla="*/ 0 h 645"/>
            <a:gd name="T18" fmla="*/ 1926 w 4370"/>
            <a:gd name="T19" fmla="*/ 0 h 645"/>
            <a:gd name="T20" fmla="*/ 1926 w 4370"/>
            <a:gd name="T21" fmla="*/ 645 h 645"/>
            <a:gd name="T22" fmla="*/ 1429 w 4370"/>
            <a:gd name="T23" fmla="*/ 0 h 645"/>
            <a:gd name="T24" fmla="*/ 1926 w 4370"/>
            <a:gd name="T25" fmla="*/ 143 h 645"/>
            <a:gd name="T26" fmla="*/ 1601 w 4370"/>
            <a:gd name="T27" fmla="*/ 501 h 645"/>
            <a:gd name="T28" fmla="*/ 2105 w 4370"/>
            <a:gd name="T29" fmla="*/ 322 h 645"/>
            <a:gd name="T30" fmla="*/ 2979 w 4370"/>
            <a:gd name="T31" fmla="*/ 0 h 645"/>
            <a:gd name="T32" fmla="*/ 3107 w 4370"/>
            <a:gd name="T33" fmla="*/ 444 h 645"/>
            <a:gd name="T34" fmla="*/ 3265 w 4370"/>
            <a:gd name="T35" fmla="*/ 641 h 645"/>
            <a:gd name="T36" fmla="*/ 3068 w 4370"/>
            <a:gd name="T37" fmla="*/ 645 h 645"/>
            <a:gd name="T38" fmla="*/ 2591 w 4370"/>
            <a:gd name="T39" fmla="*/ 463 h 645"/>
            <a:gd name="T40" fmla="*/ 2420 w 4370"/>
            <a:gd name="T41" fmla="*/ 645 h 645"/>
            <a:gd name="T42" fmla="*/ 3086 w 4370"/>
            <a:gd name="T43" fmla="*/ 231 h 645"/>
            <a:gd name="T44" fmla="*/ 2591 w 4370"/>
            <a:gd name="T45" fmla="*/ 143 h 645"/>
            <a:gd name="T46" fmla="*/ 2979 w 4370"/>
            <a:gd name="T47" fmla="*/ 319 h 645"/>
            <a:gd name="T48" fmla="*/ 3358 w 4370"/>
            <a:gd name="T49" fmla="*/ 641 h 645"/>
            <a:gd name="T50" fmla="*/ 3986 w 4370"/>
            <a:gd name="T51" fmla="*/ 0 h 645"/>
            <a:gd name="T52" fmla="*/ 4370 w 4370"/>
            <a:gd name="T53" fmla="*/ 645 h 645"/>
            <a:gd name="T54" fmla="*/ 4110 w 4370"/>
            <a:gd name="T55" fmla="*/ 525 h 645"/>
            <a:gd name="T56" fmla="*/ 3549 w 4370"/>
            <a:gd name="T57" fmla="*/ 645 h 645"/>
            <a:gd name="T58" fmla="*/ 3358 w 4370"/>
            <a:gd name="T59" fmla="*/ 641 h 645"/>
            <a:gd name="T60" fmla="*/ 3892 w 4370"/>
            <a:gd name="T61" fmla="*/ 143 h 645"/>
            <a:gd name="T62" fmla="*/ 3700 w 4370"/>
            <a:gd name="T63" fmla="*/ 381 h 6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Lst>
          <a:rect l="0" t="0" r="r" b="b"/>
          <a:pathLst>
            <a:path w="4370" h="645">
              <a:moveTo>
                <a:pt x="0" y="0"/>
              </a:moveTo>
              <a:cubicBezTo>
                <a:pt x="172" y="0"/>
                <a:pt x="172" y="0"/>
                <a:pt x="172" y="0"/>
              </a:cubicBezTo>
              <a:cubicBezTo>
                <a:pt x="172" y="645"/>
                <a:pt x="172" y="645"/>
                <a:pt x="172" y="645"/>
              </a:cubicBezTo>
              <a:cubicBezTo>
                <a:pt x="0" y="645"/>
                <a:pt x="0" y="645"/>
                <a:pt x="0" y="645"/>
              </a:cubicBezTo>
              <a:lnTo>
                <a:pt x="0" y="0"/>
              </a:lnTo>
              <a:close/>
              <a:moveTo>
                <a:pt x="375" y="0"/>
              </a:moveTo>
              <a:cubicBezTo>
                <a:pt x="682" y="0"/>
                <a:pt x="682" y="0"/>
                <a:pt x="682" y="0"/>
              </a:cubicBezTo>
              <a:cubicBezTo>
                <a:pt x="1018" y="501"/>
                <a:pt x="1018" y="501"/>
                <a:pt x="1018" y="501"/>
              </a:cubicBezTo>
              <a:cubicBezTo>
                <a:pt x="1055" y="501"/>
                <a:pt x="1055" y="501"/>
                <a:pt x="1055" y="501"/>
              </a:cubicBezTo>
              <a:cubicBezTo>
                <a:pt x="1055" y="0"/>
                <a:pt x="1055" y="0"/>
                <a:pt x="1055" y="0"/>
              </a:cubicBezTo>
              <a:cubicBezTo>
                <a:pt x="1226" y="0"/>
                <a:pt x="1226" y="0"/>
                <a:pt x="1226" y="0"/>
              </a:cubicBezTo>
              <a:cubicBezTo>
                <a:pt x="1226" y="645"/>
                <a:pt x="1226" y="645"/>
                <a:pt x="1226" y="645"/>
              </a:cubicBezTo>
              <a:cubicBezTo>
                <a:pt x="919" y="645"/>
                <a:pt x="919" y="645"/>
                <a:pt x="919" y="645"/>
              </a:cubicBezTo>
              <a:cubicBezTo>
                <a:pt x="583" y="143"/>
                <a:pt x="583" y="143"/>
                <a:pt x="583" y="143"/>
              </a:cubicBezTo>
              <a:cubicBezTo>
                <a:pt x="546" y="143"/>
                <a:pt x="546" y="143"/>
                <a:pt x="546" y="143"/>
              </a:cubicBezTo>
              <a:cubicBezTo>
                <a:pt x="546" y="645"/>
                <a:pt x="546" y="645"/>
                <a:pt x="546" y="645"/>
              </a:cubicBezTo>
              <a:cubicBezTo>
                <a:pt x="375" y="645"/>
                <a:pt x="375" y="645"/>
                <a:pt x="375" y="645"/>
              </a:cubicBezTo>
              <a:lnTo>
                <a:pt x="375" y="0"/>
              </a:lnTo>
              <a:close/>
              <a:moveTo>
                <a:pt x="1429" y="0"/>
              </a:moveTo>
              <a:cubicBezTo>
                <a:pt x="1926" y="0"/>
                <a:pt x="1926" y="0"/>
                <a:pt x="1926" y="0"/>
              </a:cubicBezTo>
              <a:cubicBezTo>
                <a:pt x="2147" y="0"/>
                <a:pt x="2281" y="122"/>
                <a:pt x="2281" y="322"/>
              </a:cubicBezTo>
              <a:cubicBezTo>
                <a:pt x="2281" y="522"/>
                <a:pt x="2147" y="645"/>
                <a:pt x="1926" y="645"/>
              </a:cubicBezTo>
              <a:cubicBezTo>
                <a:pt x="1429" y="645"/>
                <a:pt x="1429" y="645"/>
                <a:pt x="1429" y="645"/>
              </a:cubicBezTo>
              <a:lnTo>
                <a:pt x="1429" y="0"/>
              </a:lnTo>
              <a:close/>
              <a:moveTo>
                <a:pt x="2105" y="322"/>
              </a:moveTo>
              <a:cubicBezTo>
                <a:pt x="2105" y="206"/>
                <a:pt x="2042" y="143"/>
                <a:pt x="1926" y="143"/>
              </a:cubicBezTo>
              <a:cubicBezTo>
                <a:pt x="1601" y="143"/>
                <a:pt x="1601" y="143"/>
                <a:pt x="1601" y="143"/>
              </a:cubicBezTo>
              <a:cubicBezTo>
                <a:pt x="1601" y="501"/>
                <a:pt x="1601" y="501"/>
                <a:pt x="1601" y="501"/>
              </a:cubicBezTo>
              <a:cubicBezTo>
                <a:pt x="1926" y="501"/>
                <a:pt x="1926" y="501"/>
                <a:pt x="1926" y="501"/>
              </a:cubicBezTo>
              <a:cubicBezTo>
                <a:pt x="2042" y="501"/>
                <a:pt x="2105" y="439"/>
                <a:pt x="2105" y="322"/>
              </a:cubicBezTo>
              <a:close/>
              <a:moveTo>
                <a:pt x="2420" y="0"/>
              </a:moveTo>
              <a:cubicBezTo>
                <a:pt x="2979" y="0"/>
                <a:pt x="2979" y="0"/>
                <a:pt x="2979" y="0"/>
              </a:cubicBezTo>
              <a:cubicBezTo>
                <a:pt x="3157" y="0"/>
                <a:pt x="3262" y="85"/>
                <a:pt x="3262" y="231"/>
              </a:cubicBezTo>
              <a:cubicBezTo>
                <a:pt x="3262" y="337"/>
                <a:pt x="3205" y="412"/>
                <a:pt x="3107" y="444"/>
              </a:cubicBezTo>
              <a:cubicBezTo>
                <a:pt x="3107" y="459"/>
                <a:pt x="3107" y="459"/>
                <a:pt x="3107" y="459"/>
              </a:cubicBezTo>
              <a:cubicBezTo>
                <a:pt x="3265" y="641"/>
                <a:pt x="3265" y="641"/>
                <a:pt x="3265" y="641"/>
              </a:cubicBezTo>
              <a:cubicBezTo>
                <a:pt x="3265" y="645"/>
                <a:pt x="3265" y="645"/>
                <a:pt x="3265" y="645"/>
              </a:cubicBezTo>
              <a:cubicBezTo>
                <a:pt x="3068" y="645"/>
                <a:pt x="3068" y="645"/>
                <a:pt x="3068" y="645"/>
              </a:cubicBezTo>
              <a:cubicBezTo>
                <a:pt x="2913" y="463"/>
                <a:pt x="2913" y="463"/>
                <a:pt x="2913" y="463"/>
              </a:cubicBezTo>
              <a:cubicBezTo>
                <a:pt x="2591" y="463"/>
                <a:pt x="2591" y="463"/>
                <a:pt x="2591" y="463"/>
              </a:cubicBezTo>
              <a:cubicBezTo>
                <a:pt x="2591" y="645"/>
                <a:pt x="2591" y="645"/>
                <a:pt x="2591" y="645"/>
              </a:cubicBezTo>
              <a:cubicBezTo>
                <a:pt x="2420" y="645"/>
                <a:pt x="2420" y="645"/>
                <a:pt x="2420" y="645"/>
              </a:cubicBezTo>
              <a:lnTo>
                <a:pt x="2420" y="0"/>
              </a:lnTo>
              <a:close/>
              <a:moveTo>
                <a:pt x="3086" y="231"/>
              </a:moveTo>
              <a:cubicBezTo>
                <a:pt x="3086" y="175"/>
                <a:pt x="3048" y="143"/>
                <a:pt x="2979" y="143"/>
              </a:cubicBezTo>
              <a:cubicBezTo>
                <a:pt x="2591" y="143"/>
                <a:pt x="2591" y="143"/>
                <a:pt x="2591" y="143"/>
              </a:cubicBezTo>
              <a:cubicBezTo>
                <a:pt x="2591" y="319"/>
                <a:pt x="2591" y="319"/>
                <a:pt x="2591" y="319"/>
              </a:cubicBezTo>
              <a:cubicBezTo>
                <a:pt x="2979" y="319"/>
                <a:pt x="2979" y="319"/>
                <a:pt x="2979" y="319"/>
              </a:cubicBezTo>
              <a:cubicBezTo>
                <a:pt x="3048" y="319"/>
                <a:pt x="3086" y="287"/>
                <a:pt x="3086" y="231"/>
              </a:cubicBezTo>
              <a:close/>
              <a:moveTo>
                <a:pt x="3358" y="641"/>
              </a:moveTo>
              <a:cubicBezTo>
                <a:pt x="3742" y="0"/>
                <a:pt x="3742" y="0"/>
                <a:pt x="3742" y="0"/>
              </a:cubicBezTo>
              <a:cubicBezTo>
                <a:pt x="3986" y="0"/>
                <a:pt x="3986" y="0"/>
                <a:pt x="3986" y="0"/>
              </a:cubicBezTo>
              <a:cubicBezTo>
                <a:pt x="4370" y="641"/>
                <a:pt x="4370" y="641"/>
                <a:pt x="4370" y="641"/>
              </a:cubicBezTo>
              <a:cubicBezTo>
                <a:pt x="4370" y="645"/>
                <a:pt x="4370" y="645"/>
                <a:pt x="4370" y="645"/>
              </a:cubicBezTo>
              <a:cubicBezTo>
                <a:pt x="4179" y="645"/>
                <a:pt x="4179" y="645"/>
                <a:pt x="4179" y="645"/>
              </a:cubicBezTo>
              <a:cubicBezTo>
                <a:pt x="4110" y="525"/>
                <a:pt x="4110" y="525"/>
                <a:pt x="4110" y="525"/>
              </a:cubicBezTo>
              <a:cubicBezTo>
                <a:pt x="3618" y="525"/>
                <a:pt x="3618" y="525"/>
                <a:pt x="3618" y="525"/>
              </a:cubicBezTo>
              <a:cubicBezTo>
                <a:pt x="3549" y="645"/>
                <a:pt x="3549" y="645"/>
                <a:pt x="3549" y="645"/>
              </a:cubicBezTo>
              <a:cubicBezTo>
                <a:pt x="3358" y="645"/>
                <a:pt x="3358" y="645"/>
                <a:pt x="3358" y="645"/>
              </a:cubicBezTo>
              <a:lnTo>
                <a:pt x="3358" y="641"/>
              </a:lnTo>
              <a:close/>
              <a:moveTo>
                <a:pt x="4028" y="381"/>
              </a:moveTo>
              <a:cubicBezTo>
                <a:pt x="3892" y="143"/>
                <a:pt x="3892" y="143"/>
                <a:pt x="3892" y="143"/>
              </a:cubicBezTo>
              <a:cubicBezTo>
                <a:pt x="3836" y="143"/>
                <a:pt x="3836" y="143"/>
                <a:pt x="3836" y="143"/>
              </a:cubicBezTo>
              <a:cubicBezTo>
                <a:pt x="3700" y="381"/>
                <a:pt x="3700" y="381"/>
                <a:pt x="3700" y="381"/>
              </a:cubicBezTo>
              <a:lnTo>
                <a:pt x="4028" y="381"/>
              </a:lnTo>
              <a:close/>
            </a:path>
          </a:pathLst>
        </a:custGeom>
        <a:solidFill>
          <a:srgbClr val="FFFFFF"/>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s-ES"/>
        </a:p>
      </xdr:txBody>
    </xdr: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sta 1" id="{F184E45D-9E6C-4723-930A-813A2697848A}">
    <nsvFilter filterId="{BD338F37-4431-48EF-A6DB-43C02518D0AE}" ref="B14:K121" tableId="9">
      <columnFilter colId="8" id="{D2FC1767-6BB1-4F63-A54A-8F2BE1493A27}">
        <filter colId="8">
          <x:filters>
            <x:filter val="fchamarro"/>
          </x:filters>
        </filter>
      </columnFilter>
      <sortRules>
        <sortRule colId="1" id="{204EFEAF-C93B-47DE-B1A3-390C6E6ADC19}">
          <sortCondition ref="C14:C121"/>
        </sortRule>
      </sortRules>
    </nsvFilter>
  </namedSheetView>
  <namedSheetView name="Vista 2" id="{73DCAA9E-5D9F-4B51-BF05-A0367D15DDA0}">
    <nsvFilter filterId="{BD338F37-4431-48EF-A6DB-43C02518D0AE}" ref="B14:K121" tableId="9">
      <columnFilter colId="8" id="{D2FC1767-6BB1-4F63-A54A-8F2BE1493A27}">
        <filter colId="8">
          <x:filters>
            <x:filter val="fchamarro"/>
          </x:filters>
        </filter>
      </columnFilter>
      <sortRules>
        <sortRule colId="1" id="{204EFEAF-C93B-47DE-B1A3-390C6E6ADC19}">
          <sortCondition ref="C14:C121"/>
        </sortRule>
      </sortRules>
    </nsvFilter>
  </namedSheetView>
</namedSheetView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F81A536-2EF3-44BF-BE65-A7171D22A56B}" name="Tabla112" displayName="Tabla112" ref="A9:O10" totalsRowShown="0" headerRowDxfId="438" dataDxfId="436" headerRowBorderDxfId="437" tableBorderDxfId="435">
  <autoFilter ref="A9:O10" xr:uid="{77FA33EE-CD8D-4853-B298-00E650820FC3}"/>
  <tableColumns count="15">
    <tableColumn id="1" xr3:uid="{DB0B78DB-2273-408D-9E82-3CE9FED9193F}" name="ID" dataDxfId="434"/>
    <tableColumn id="2" xr3:uid="{0AAD3FE4-E7CE-49C0-A459-6171867CC0B0}" name="Código Indra" dataDxfId="433"/>
    <tableColumn id="16" xr3:uid="{C84213AC-0BE4-4FB0-8D20-ABC679DA3357}" name="Descripción" dataDxfId="432"/>
    <tableColumn id="3" xr3:uid="{33B355E1-2211-4E4D-9D6E-162469A51DCF}" name="Pertenece" dataDxfId="431"/>
    <tableColumn id="4" xr3:uid="{DDCB07A9-6242-4131-9B02-4528B066CE0D}" name="Documentación" dataDxfId="430"/>
    <tableColumn id="6" xr3:uid="{E7DAF30F-8BC8-4898-AF3F-37B51BF7CCC4}" name="Cantidad" dataDxfId="429"/>
    <tableColumn id="5" xr3:uid="{9F2B3B6A-B9F9-4205-92F3-3F108AAF222F}" name="POWER ON" dataDxfId="428"/>
    <tableColumn id="17" xr3:uid="{871BE008-6535-4AFA-9FFD-ED9F54F5BD30}" name="PRIORIDAD" dataDxfId="427"/>
    <tableColumn id="9" xr3:uid="{E40EE370-68F8-4D67-9DE0-93F15A418A9D}" name="Ingenieria" dataDxfId="426"/>
    <tableColumn id="10" xr3:uid="{10EE800B-4B3F-4831-9F7C-5B1AF8A21EDF}" name="S/N" dataDxfId="425"/>
    <tableColumn id="7" xr3:uid="{A769928D-5D81-4A70-82E0-E507FCC4D693}" name="Estado" dataDxfId="424"/>
    <tableColumn id="11" xr3:uid="{7C10118E-A670-4603-97EE-229235241D8C}" name="OP" dataDxfId="423"/>
    <tableColumn id="12" xr3:uid="{C8C4026A-2004-46FF-A5E2-7A3C1E100923}" name="OP creada" dataDxfId="422"/>
    <tableColumn id="13" xr3:uid="{996CFB47-DEF9-43EF-9693-AE9B979AC958}" name="OP a producción" dataDxfId="421"/>
    <tableColumn id="14" xr3:uid="{99BCD926-9D16-4ABF-89ED-7630554578D6}" name="Comentarios" dataDxfId="42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C18CE78-A5D2-4194-8B3F-4040AED8134B}" name="Tabla1313" displayName="Tabla1313" ref="A12:W393" totalsRowShown="0" headerRowDxfId="419" headerRowBorderDxfId="418" tableBorderDxfId="417">
  <autoFilter ref="A12:W393" xr:uid="{ECD71D12-5F96-41BF-954B-C77F9D316467}"/>
  <tableColumns count="23">
    <tableColumn id="1" xr3:uid="{BC568EB8-B3E6-4A42-9BF9-FCD155BF4495}" name="ID" dataDxfId="416"/>
    <tableColumn id="2" xr3:uid="{A0B6993D-7769-4526-A601-4431BFFF3CCE}" name="Código Indra" dataDxfId="415"/>
    <tableColumn id="11" xr3:uid="{9DA44378-D70F-4C86-9D2B-FB693F48ED87}" name="Descripción" dataDxfId="414"/>
    <tableColumn id="3" xr3:uid="{A7A675F3-6815-4477-828B-1CD854A3CFB8}" name="Pertenece" dataDxfId="413"/>
    <tableColumn id="4" xr3:uid="{79F9B034-29AF-425A-9967-FFFB40A56B4A}" name="Documentación" dataDxfId="412"/>
    <tableColumn id="6" xr3:uid="{1D9F49F6-CF79-44FF-8B84-557B6EA4D174}" name="Cantidad" dataDxfId="411"/>
    <tableColumn id="5" xr3:uid="{1E39B083-C6A8-4E71-BEA5-EDD6D196DC9F}" name="POWER ON" dataDxfId="410"/>
    <tableColumn id="8" xr3:uid="{569E07F4-A4D8-4B01-ADB1-9515E61384AC}" name="PRIORIDAD" dataDxfId="409"/>
    <tableColumn id="9" xr3:uid="{FA2AA4EE-FF0B-4C40-A4BF-4D90EFC10AE2}" name="Ingenieria" dataDxfId="408"/>
    <tableColumn id="10" xr3:uid="{2D37DA11-32FA-451B-A859-927D129D4AD3}" name="S/N" dataDxfId="407"/>
    <tableColumn id="7" xr3:uid="{8C05DD3B-7801-4C9B-BB41-3B7459A742B2}" name="Estado" dataDxfId="406"/>
    <tableColumn id="12" xr3:uid="{01A71187-F467-4194-8ED7-676BFAE2D6DA}" name="OP" dataDxfId="405"/>
    <tableColumn id="13" xr3:uid="{D3BA2249-D386-4A22-B93B-4703ABA47994}" name="OP creada" dataDxfId="404"/>
    <tableColumn id="14" xr3:uid="{5C887152-B36B-4893-A188-AFAB3A498244}" name="OP a producción" dataDxfId="403"/>
    <tableColumn id="16" xr3:uid="{FBEFE151-A554-439E-AF24-B52C0F666859}" name="Comentarios" dataDxfId="402"/>
    <tableColumn id="15" xr3:uid="{BBB8F768-D4C6-43B1-9291-0CA8C3A425EC}" name="LM SAP" dataDxfId="401">
      <calculatedColumnFormula>IF(LEFT(B13,5)="09735",
    IF(ISNA(VLOOKUP(Tabla1313[[#This Row],[Apoyo]],'LM SAP'!A:G,1,FALSE)),
        "No Disponible",
        IF(VLOOKUP(Tabla1313[[#This Row],[Apoyo]],'LM SAP'!A:AD,9,FALSE)="RR",
            "Disponible",
            "Firmas SAP"
        )
    ),
    "CONSULTAR"
)</calculatedColumnFormula>
    </tableColumn>
    <tableColumn id="17" xr3:uid="{D8BDC365-10AA-420D-BE10-D0C795D3D5C2}" name="Apoyo" dataDxfId="400">
      <calculatedColumnFormula>MID(Tabla1313[[#This Row],[Código Indra]],1,13)</calculatedColumnFormula>
    </tableColumn>
    <tableColumn id="18" xr3:uid="{AFB65E24-0734-410F-9C91-11EAC5AE7BC5}" name="¿Aparece en la PBS?" dataDxfId="399"/>
    <tableColumn id="19" xr3:uid="{00826C36-130D-4237-A3A0-2F04AEAD6427}" name="¿Tiene incidencia?" dataDxfId="398">
      <calculatedColumnFormula>IF(ISNA(VLOOKUP(Tabla1313[[#This Row],[Código Indra]],#REF!,1,FALSE)),"NO", "SI")</calculatedColumnFormula>
    </tableColumn>
    <tableColumn id="20" xr3:uid="{AFC650A3-9760-4BC1-9360-1AFCBDCB2848}" name="Ubicación" dataDxfId="397"/>
    <tableColumn id="21" xr3:uid="{4A73DE3F-D331-44A8-990B-B782BB24921C}" name="Tipo" dataDxfId="396"/>
    <tableColumn id="22" xr3:uid="{5CB7FCB9-A91A-43A7-9D45-C082EEB3FB0B}" name="Firmas SAP" dataDxfId="395">
      <calculatedColumnFormula>VLOOKUP(Tabla1313[[#This Row],[Apoyo]],'LM SAP'!A:I,9,FALSE)</calculatedColumnFormula>
    </tableColumn>
    <tableColumn id="23" xr3:uid="{407619FC-97E0-40E1-8309-84425EC04F2A}" name="OPS NEW" dataDxfId="394">
      <calculatedColumnFormula>VLOOKUP(Tabla1313[[#This Row],[Código Indra]],#REF!,1,FALSE)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899E3A-FF01-44D9-9132-2B9531E00198}" name="Tabla2910" displayName="Tabla2910" ref="B14:K121" totalsRowShown="0" headerRowDxfId="393" dataDxfId="391" headerRowBorderDxfId="392" tableBorderDxfId="390">
  <autoFilter ref="B14:K121" xr:uid="{BD338F37-4431-48EF-A6DB-43C02518D0AE}"/>
  <sortState xmlns:xlrd2="http://schemas.microsoft.com/office/spreadsheetml/2017/richdata2" ref="B15:K120">
    <sortCondition ref="C14:C120"/>
  </sortState>
  <tableColumns count="10">
    <tableColumn id="1" xr3:uid="{B55DF59D-859D-40F5-8395-F654A32CE82F}" name="Nº" dataDxfId="389"/>
    <tableColumn id="16" xr3:uid="{204EFEAF-C93B-47DE-B1A3-390C6E6ADC19}" name="ID" dataDxfId="388">
      <calculatedColumnFormula>VLOOKUP(Tabla2910[[#This Row],[Código INDRA]],Tabla13[[Código Indra]:[ID2]],24,FALSE)</calculatedColumnFormula>
    </tableColumn>
    <tableColumn id="3" xr3:uid="{4DA680F9-2354-4EE7-9592-A16605100062}" name="Fecha creación" dataDxfId="387"/>
    <tableColumn id="2" xr3:uid="{D2D7DEAA-8B8D-4E14-87EC-7F75998A512F}" name="Código INDRA" dataDxfId="386"/>
    <tableColumn id="5" xr3:uid="{5AF3E736-4AA4-477E-8994-4955CC8133ED}" name="Descripción" dataDxfId="385"/>
    <tableColumn id="4" xr3:uid="{14A8CB5B-3BB3-434E-AD69-14487697C418}" name="Código IM" dataDxfId="384"/>
    <tableColumn id="6" xr3:uid="{83682C6F-3B85-43C2-BC01-EA7EA6B6CA09}" name="Versión" dataDxfId="383"/>
    <tableColumn id="18" xr3:uid="{D624ECA8-BC50-437D-9C5A-0DA4F7E6E256}" name="Comentarios" dataDxfId="382"/>
    <tableColumn id="9" xr3:uid="{D2FC1767-6BB1-4F63-A54A-8F2BE1493A27}" name="Responsable" dataDxfId="381"/>
    <tableColumn id="19" xr3:uid="{F3E540AF-65E5-49A3-ABE9-DD4C4C229310}" name="ESTADO" dataDxfId="38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B70526-D9FB-4AE2-84E8-7E5AA9A528F7}" name="Tabla2" displayName="Tabla2" ref="A1:B30" totalsRowShown="0" headerRowDxfId="379" dataDxfId="377" headerRowBorderDxfId="378" tableBorderDxfId="376" totalsRowBorderDxfId="375">
  <autoFilter ref="A1:B30" xr:uid="{0AB70526-D9FB-4AE2-84E8-7E5AA9A528F7}"/>
  <tableColumns count="2">
    <tableColumn id="1" xr3:uid="{C51E995C-5AEB-4799-81E7-51967E374439}" name="Estados OP" dataDxfId="374"/>
    <tableColumn id="2" xr3:uid="{E9777AE7-A9C8-4A3B-A13B-B722ED8ED4D3}" name="Avance" dataDxfId="37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EAEA2C-0840-4450-9D37-AE5FD125C936}" name="Tabla3" displayName="Tabla3" ref="D1:D3" totalsRowShown="0" dataDxfId="371" headerRowBorderDxfId="372" tableBorderDxfId="370" totalsRowBorderDxfId="369">
  <autoFilter ref="D1:D3" xr:uid="{82EAEA2C-0840-4450-9D37-AE5FD125C936}"/>
  <tableColumns count="1">
    <tableColumn id="1" xr3:uid="{BFFFCCC2-325A-4BE4-BF8D-33D77D51ED6E}" name="Destinatarios" dataDxfId="36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A65B202-FF11-43D0-990D-983A234765D2}" name="Tabla4" displayName="Tabla4" ref="F1:F5" totalsRowShown="0" headerRowDxfId="367" dataDxfId="365" headerRowBorderDxfId="366" tableBorderDxfId="364" totalsRowBorderDxfId="363">
  <autoFilter ref="F1:F5" xr:uid="{6A65B202-FF11-43D0-990D-983A234765D2}"/>
  <tableColumns count="1">
    <tableColumn id="1" xr3:uid="{21880DB0-C2D4-4B4B-AC1F-1BDD8C824742}" name="DestinatariosCC" dataDxfId="36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0533403-957E-4011-A811-447572214F9E}" name="Tabla5" displayName="Tabla5" ref="H1:H12" totalsRowShown="0" headerRowDxfId="361" dataDxfId="359" headerRowBorderDxfId="360" tableBorderDxfId="358" totalsRowBorderDxfId="357">
  <autoFilter ref="H1:H12" xr:uid="{F0533403-957E-4011-A811-447572214F9E}"/>
  <tableColumns count="1">
    <tableColumn id="1" xr3:uid="{8BC80E42-4FED-43CB-B1FC-17049ACF5EBC}" name="Sugenrencia destinatarios" dataDxfId="35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7FB7537-C176-4A39-9891-5D52EDBC1793}" name="Tabla7" displayName="Tabla7" ref="J1:J3" totalsRowShown="0">
  <autoFilter ref="J1:J3" xr:uid="{C7FB7537-C176-4A39-9891-5D52EDBC1793}"/>
  <tableColumns count="1">
    <tableColumn id="1" xr3:uid="{88FF10D3-7612-425E-90AC-50F0CD9791B2}" name="Calidad"/>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6B6D3E-777F-4258-B512-3D77A9F0C7CE}" name="Tabla1322" displayName="Tabla1322" ref="C10:I331" totalsRowShown="0" headerRowDxfId="326" dataDxfId="324" headerRowBorderDxfId="325" tableBorderDxfId="323">
  <autoFilter ref="C10:I331" xr:uid="{1E610F9D-3940-456C-86C6-BC327F832450}">
    <filterColumn colId="4">
      <filters>
        <filter val="Open"/>
      </filters>
    </filterColumn>
  </autoFilter>
  <sortState xmlns:xlrd2="http://schemas.microsoft.com/office/spreadsheetml/2017/richdata2" ref="C11:I329">
    <sortCondition ref="C10:C329"/>
  </sortState>
  <tableColumns count="7">
    <tableColumn id="2" xr3:uid="{961DD92A-50AC-4A12-9806-57EF1D4A48DC}" name="ID" dataDxfId="322">
      <calculatedColumnFormula>VLOOKUP(Tabla1322[[#This Row],[Código INDRA]],Tabla13[[Código Indra]:[ID2]],24,FALSE)</calculatedColumnFormula>
    </tableColumn>
    <tableColumn id="3" xr3:uid="{3EE3DB56-9EE1-411A-85C9-000850300FD8}" name="Fecha detección" dataDxfId="321"/>
    <tableColumn id="4" xr3:uid="{34D0758C-DD26-4146-B7A8-828CF0DE588F}" name="Código INDRA" dataDxfId="320"/>
    <tableColumn id="6" xr3:uid="{F4347B46-941F-4271-B950-1DC8B66DC4CA}" name="Nombre" dataDxfId="319"/>
    <tableColumn id="20" xr3:uid="{D82F8769-6F97-4089-A2AB-334A084198C3}" name="ESTADO" dataDxfId="318"/>
    <tableColumn id="17" xr3:uid="{843D7E5E-FBAE-43E6-BB93-F0D5EF5053DC}" name="Comentario" dataDxfId="317"/>
    <tableColumn id="5" xr3:uid="{E1BE6AAE-3A98-4E86-B405-EF053FA5BC99}" name="Comentario HW" dataDxfId="31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E610F9D-3940-456C-86C6-BC327F832450}" name="Tabla13" displayName="Tabla13" ref="A11:Y1195" totalsRowShown="0" headerRowDxfId="146" dataDxfId="144" headerRowBorderDxfId="145" tableBorderDxfId="143">
  <autoFilter ref="A11:Y1195" xr:uid="{1E610F9D-3940-456C-86C6-BC327F832450}"/>
  <tableColumns count="25">
    <tableColumn id="1" xr3:uid="{1D267589-3EDD-4FF7-A344-F2BA57D5AA84}" name="ID" dataDxfId="142"/>
    <tableColumn id="2" xr3:uid="{4DD94D97-BF21-4CFA-8491-B8721AA5985B}" name="Código Indra" dataDxfId="141"/>
    <tableColumn id="11" xr3:uid="{D27398A7-3183-4104-BB73-DBCCD64EA13D}" name="Descripción" dataDxfId="140"/>
    <tableColumn id="3" xr3:uid="{85C4A997-998A-48BE-9996-62F67E46B41F}" name="Pertenece" dataDxfId="139"/>
    <tableColumn id="4" xr3:uid="{B8DD6CAC-E45D-4988-BABA-25D84F0FC9B1}" name="Documentación" dataDxfId="138"/>
    <tableColumn id="6" xr3:uid="{E1F44FC0-BBCB-4836-BB4D-F373BB73B863}" name="Cantidad" dataDxfId="137"/>
    <tableColumn id="5" xr3:uid="{FBF330B1-8E17-4B37-B593-11285A66C774}" name="FANTASMAR (50)" dataDxfId="136"/>
    <tableColumn id="8" xr3:uid="{7542168E-965A-4CCD-ADC2-B2160B8DCFC2}" name="PRIORIDAD" dataDxfId="135"/>
    <tableColumn id="9" xr3:uid="{3E811158-E904-48E6-A626-4A282B9330DC}" name="Ingenieria" dataDxfId="134"/>
    <tableColumn id="10" xr3:uid="{17FFAFA0-2430-4610-9D7C-0F51A855FCCA}" name="S/N" dataDxfId="133"/>
    <tableColumn id="7" xr3:uid="{3041E04A-B638-4D71-A173-2201B8AF5AF3}" name="Estado" dataDxfId="132"/>
    <tableColumn id="12" xr3:uid="{695F17AD-849C-4053-AE66-637612AF4ABD}" name="OP" dataDxfId="131"/>
    <tableColumn id="13" xr3:uid="{D322E8E3-ECD0-445E-BE87-88E64CC60C2F}" name="OP creada" dataDxfId="130"/>
    <tableColumn id="14" xr3:uid="{A261EBCC-2A62-4AB3-AD2B-550C31717CA3}" name="OP a producción" dataDxfId="129"/>
    <tableColumn id="16" xr3:uid="{7B106995-89A6-437D-9FC4-F5F653FFB192}" name="Comentarios" dataDxfId="128"/>
    <tableColumn id="15" xr3:uid="{7F39C754-E570-4A66-9DC7-87301680A071}" name="LM SAP" dataDxfId="127">
      <calculatedColumnFormula>IF(LEFT(B12,5)="09735",
    IF(ISNA(VLOOKUP(Tabla13[[#This Row],[Apoyo]],'LM SAP'!A:G,1,FALSE)),
        "No Disponible",
        IF(VLOOKUP(Tabla13[[#This Row],[Apoyo]],'LM SAP'!A:AD,9,FALSE)="RR",
            "Disponible",
            "Firmas SAP"
        )
    ),
    "CONSULTAR"
)</calculatedColumnFormula>
    </tableColumn>
    <tableColumn id="17" xr3:uid="{386439F0-AA56-4D3E-B297-E21AB812FD5B}" name="Apoyo" dataDxfId="126">
      <calculatedColumnFormula>MID(Tabla13[[#This Row],[Código Indra]],1,13)</calculatedColumnFormula>
    </tableColumn>
    <tableColumn id="18" xr3:uid="{20425FD0-7F79-444F-9AE6-B2C9630AD382}" name="¿Aparece en la PBS?" dataDxfId="125">
      <calculatedColumnFormula>IF(ISNA(VLOOKUP(Tabla13[[#This Row],[Código Indra]],#REF!,1,FALSE)),"NO", "SI")</calculatedColumnFormula>
    </tableColumn>
    <tableColumn id="19" xr3:uid="{6B8BCACC-347D-49B9-B319-AFB2C62935F5}" name="¿Tiene incidencia?" dataDxfId="124">
      <calculatedColumnFormula>IF(ISNA(VLOOKUP(Tabla13[[#This Row],[Código Indra]],Tabla132[[Código INDRA]:[Nombre]],1,FALSE)),"NO", "SI")</calculatedColumnFormula>
    </tableColumn>
    <tableColumn id="20" xr3:uid="{3E2C7BA6-1314-4FCC-8CE4-B0D2A832108C}" name="Ubicación" dataDxfId="123"/>
    <tableColumn id="21" xr3:uid="{08637E31-6AAE-456C-945F-956D33FDCDD8}" name="Tipo" dataDxfId="122"/>
    <tableColumn id="22" xr3:uid="{8CFF0B10-80E1-4147-85DC-CB40522E0038}" name="Firmas SAP" dataDxfId="121">
      <calculatedColumnFormula>VLOOKUP(Tabla13[[#This Row],[Apoyo]],'LM SAP'!A:I,9,FALSE)</calculatedColumnFormula>
    </tableColumn>
    <tableColumn id="23" xr3:uid="{FF8BF431-5F9D-4328-A9B9-83A95E1AE2BF}" name="POWER ON" dataDxfId="120"/>
    <tableColumn id="24" xr3:uid="{A3924DA2-69B3-40AA-BB3B-E368C4AE790A}" name="Estimación duracion" dataDxfId="119"/>
    <tableColumn id="26" xr3:uid="{B685FCF8-5BB8-4603-9426-741A08DBAAC1}" name="ID2" dataDxfId="118">
      <calculatedColumnFormula>Tabla13[[#This Row],[ID]]</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9DD8C9-844D-4137-8C93-6A846CB9771F}" name="Tabla132" displayName="Tabla132" ref="C7:P308" totalsRowShown="0" headerRowDxfId="16" headerRowBorderDxfId="15" tableBorderDxfId="14">
  <autoFilter ref="C7:P308" xr:uid="{1E610F9D-3940-456C-86C6-BC327F832450}">
    <filterColumn colId="8">
      <filters blank="1"/>
    </filterColumn>
  </autoFilter>
  <sortState xmlns:xlrd2="http://schemas.microsoft.com/office/spreadsheetml/2017/richdata2" ref="C187:P308">
    <sortCondition ref="D7:D308"/>
  </sortState>
  <tableColumns count="14">
    <tableColumn id="1" xr3:uid="{7D60B317-55B9-4AC5-8FF5-8AE49607E3B9}" name="Nº" dataDxfId="13"/>
    <tableColumn id="2" xr3:uid="{F2B96DA8-EDF0-45AC-820A-2B38C6ED5078}" name="ID" dataDxfId="12">
      <calculatedColumnFormula>VLOOKUP(Tabla132[[#This Row],[Código INDRA]],Tabla13[[Código Indra]:[ID2]],24,FALSE)</calculatedColumnFormula>
    </tableColumn>
    <tableColumn id="11" xr3:uid="{5866AF13-6F30-444E-8F20-A7E2CFA24355}" name="OP" dataDxfId="11"/>
    <tableColumn id="3" xr3:uid="{B4EDEF9E-772B-4551-B8B0-ADB57F33BC6A}" name="Fecha detección" dataDxfId="10"/>
    <tableColumn id="4" xr3:uid="{3959EFA8-404E-4F73-9804-F244F1BC347A}" name="Código INDRA" dataDxfId="9"/>
    <tableColumn id="6" xr3:uid="{E5C43D6A-1ADD-4AF0-8AF5-E035AA8A9CF1}" name="Nombre" dataDxfId="8"/>
    <tableColumn id="18" xr3:uid="{CBA84B87-B48C-4344-A2C3-D4F14E5F0828}" name="Tipo Documento" dataDxfId="7"/>
    <tableColumn id="19" xr3:uid="{D64BE583-F211-41CF-85DF-1DFF328CC2B9}" name="Responsable" dataDxfId="6">
      <calculatedColumnFormula>VLOOKUP(Tabla132[[#This Row],[Código INDRA]],Tabla13[[Código Indra]:[ID2]],8,FALSE)</calculatedColumnFormula>
    </tableColumn>
    <tableColumn id="20" xr3:uid="{4E736327-B444-4A0E-B671-5E4258D2E3B7}" name="ESTADO" dataDxfId="5"/>
    <tableColumn id="17" xr3:uid="{06A19898-04A6-4C83-B130-289C1F960013}" name="Descripción Incidencia" dataDxfId="4"/>
    <tableColumn id="9" xr3:uid="{521B5094-AEDF-43C5-BA7C-35B60C4F4A22}" name="Comentario" dataDxfId="3"/>
    <tableColumn id="7" xr3:uid="{98ACE769-EC9F-4406-9240-698E7E0C588A}" name="Fecha Actualización SAP" dataDxfId="2"/>
    <tableColumn id="12" xr3:uid="{AC7378E1-FD92-4B31-B190-DE9A05B378F1}" name="Version afectada" dataDxfId="1"/>
    <tableColumn id="13" xr3:uid="{CEC4938E-CDDD-41AA-AFD0-611E4742044A}" name="Nueva version"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hyperlink" Target="mailto:fgrecio@indra.es" TargetMode="External"/><Relationship Id="rId7" Type="http://schemas.openxmlformats.org/officeDocument/2006/relationships/table" Target="../tables/table4.xml"/><Relationship Id="rId2" Type="http://schemas.openxmlformats.org/officeDocument/2006/relationships/hyperlink" Target="mailto:jamperez@indra.es" TargetMode="External"/><Relationship Id="rId1" Type="http://schemas.openxmlformats.org/officeDocument/2006/relationships/hyperlink" Target="mailto:smamaro@indra.es" TargetMode="External"/><Relationship Id="rId6" Type="http://schemas.openxmlformats.org/officeDocument/2006/relationships/hyperlink" Target="mailto:drsanmartin@indra.es" TargetMode="External"/><Relationship Id="rId11" Type="http://schemas.openxmlformats.org/officeDocument/2006/relationships/table" Target="../tables/table8.xml"/><Relationship Id="rId5" Type="http://schemas.openxmlformats.org/officeDocument/2006/relationships/hyperlink" Target="mailto:ntorijano@indra.es" TargetMode="External"/><Relationship Id="rId10" Type="http://schemas.openxmlformats.org/officeDocument/2006/relationships/table" Target="../tables/table7.xml"/><Relationship Id="rId4" Type="http://schemas.openxmlformats.org/officeDocument/2006/relationships/hyperlink" Target="mailto:avizcainoc@indra.es" TargetMode="External"/><Relationship Id="rId9"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611D3-C3C0-4433-93EC-512324A636AE}">
  <sheetPr codeName="Hoja2"/>
  <dimension ref="A1:S76"/>
  <sheetViews>
    <sheetView topLeftCell="A21" zoomScale="115" zoomScaleNormal="115" zoomScaleSheetLayoutView="100" zoomScalePageLayoutView="80" workbookViewId="0">
      <selection activeCell="C35" sqref="C35"/>
    </sheetView>
  </sheetViews>
  <sheetFormatPr baseColWidth="10" defaultColWidth="8.5703125" defaultRowHeight="15" x14ac:dyDescent="0.25"/>
  <cols>
    <col min="1" max="1" width="4.42578125" customWidth="1"/>
    <col min="2" max="2" width="18.42578125" style="284" customWidth="1"/>
    <col min="3" max="3" width="22.42578125" style="284" customWidth="1"/>
    <col min="4" max="4" width="8.5703125" style="284" customWidth="1"/>
    <col min="5" max="5" width="3.5703125" customWidth="1"/>
    <col min="6" max="6" width="6.5703125" customWidth="1"/>
    <col min="7" max="7" width="5.42578125" style="211" customWidth="1"/>
    <col min="8" max="8" width="7.5703125" style="211" customWidth="1"/>
    <col min="9" max="13" width="4.42578125" customWidth="1"/>
    <col min="14" max="14" width="47.5703125" customWidth="1"/>
    <col min="15" max="15" width="22" bestFit="1" customWidth="1"/>
    <col min="16" max="16" width="21" customWidth="1"/>
    <col min="17" max="17" width="15.5703125" hidden="1" customWidth="1"/>
    <col min="18" max="18" width="8.5703125" style="6" hidden="1" customWidth="1"/>
  </cols>
  <sheetData>
    <row r="1" spans="1:19" ht="39" x14ac:dyDescent="0.25">
      <c r="A1" s="627"/>
      <c r="B1" s="627"/>
      <c r="C1" s="628"/>
      <c r="D1" s="628"/>
      <c r="E1" s="628"/>
      <c r="F1" s="628"/>
      <c r="G1" s="628"/>
      <c r="H1" s="628"/>
      <c r="I1" s="628"/>
      <c r="J1" s="628"/>
      <c r="K1" s="628"/>
      <c r="L1" s="628"/>
      <c r="M1" s="628"/>
      <c r="N1" s="628"/>
      <c r="O1" s="357"/>
    </row>
    <row r="2" spans="1:19" ht="39" x14ac:dyDescent="0.25">
      <c r="A2" s="627"/>
      <c r="B2" s="627"/>
      <c r="C2" s="628"/>
      <c r="D2" s="628"/>
      <c r="E2" s="628"/>
      <c r="F2" s="628"/>
      <c r="G2" s="628"/>
      <c r="H2" s="628"/>
      <c r="I2" s="628"/>
      <c r="J2" s="628"/>
      <c r="K2" s="628"/>
      <c r="L2" s="628"/>
      <c r="M2" s="628"/>
      <c r="N2" s="628"/>
      <c r="O2" s="357"/>
    </row>
    <row r="3" spans="1:19" ht="39" x14ac:dyDescent="0.25">
      <c r="A3" s="627"/>
      <c r="B3" s="627"/>
      <c r="C3" s="628"/>
      <c r="D3" s="628"/>
      <c r="E3" s="628"/>
      <c r="F3" s="628"/>
      <c r="G3" s="628"/>
      <c r="H3" s="628"/>
      <c r="I3" s="628"/>
      <c r="J3" s="628"/>
      <c r="K3" s="628"/>
      <c r="L3" s="628"/>
      <c r="M3" s="628"/>
      <c r="N3" s="628"/>
      <c r="O3" s="357"/>
    </row>
    <row r="4" spans="1:19" ht="12" customHeight="1" x14ac:dyDescent="0.25">
      <c r="A4" s="627"/>
      <c r="B4" s="627"/>
      <c r="C4" s="628"/>
      <c r="D4" s="628"/>
      <c r="E4" s="628"/>
      <c r="F4" s="628"/>
      <c r="G4" s="628"/>
      <c r="H4" s="628"/>
      <c r="I4" s="628"/>
      <c r="J4" s="628"/>
      <c r="K4" s="628"/>
      <c r="L4" s="628"/>
      <c r="M4" s="628"/>
      <c r="N4" s="628"/>
      <c r="O4" s="357"/>
    </row>
    <row r="5" spans="1:19" ht="2.25" customHeight="1" thickBot="1" x14ac:dyDescent="0.3">
      <c r="A5" s="283"/>
    </row>
    <row r="6" spans="1:19" ht="17.100000000000001" customHeight="1" x14ac:dyDescent="0.25">
      <c r="A6" s="629" t="s">
        <v>0</v>
      </c>
      <c r="B6" s="630"/>
      <c r="C6" s="631" t="s">
        <v>1</v>
      </c>
      <c r="D6" s="632"/>
      <c r="E6" s="633"/>
      <c r="F6" s="631" t="s">
        <v>2</v>
      </c>
      <c r="G6" s="633"/>
      <c r="H6" s="285"/>
      <c r="I6" s="629" t="s">
        <v>3</v>
      </c>
      <c r="J6" s="634"/>
      <c r="K6" s="634"/>
      <c r="L6" s="634"/>
      <c r="M6" s="634"/>
      <c r="N6" s="630"/>
      <c r="O6" s="358"/>
    </row>
    <row r="7" spans="1:19" s="287" customFormat="1" ht="37.5" customHeight="1" thickBot="1" x14ac:dyDescent="0.3">
      <c r="A7" s="635" t="s">
        <v>4</v>
      </c>
      <c r="B7" s="636"/>
      <c r="C7" s="637" t="s">
        <v>5</v>
      </c>
      <c r="D7" s="638"/>
      <c r="E7" s="639"/>
      <c r="F7" s="637" t="s">
        <v>6</v>
      </c>
      <c r="G7" s="639"/>
      <c r="H7" s="286"/>
      <c r="I7" s="644" t="s">
        <v>7</v>
      </c>
      <c r="J7" s="645"/>
      <c r="K7" s="645"/>
      <c r="L7" s="645"/>
      <c r="M7" s="645"/>
      <c r="N7" s="646"/>
      <c r="O7" s="359"/>
      <c r="R7" s="6"/>
      <c r="S7"/>
    </row>
    <row r="8" spans="1:19" ht="12" customHeight="1" x14ac:dyDescent="0.25">
      <c r="A8" s="288" t="s">
        <v>8</v>
      </c>
      <c r="B8" s="289" t="s">
        <v>9</v>
      </c>
      <c r="C8" s="289" t="s">
        <v>10</v>
      </c>
      <c r="D8" s="290" t="s">
        <v>11</v>
      </c>
      <c r="E8" s="640" t="s">
        <v>12</v>
      </c>
      <c r="F8" s="641"/>
      <c r="G8" s="291" t="s">
        <v>13</v>
      </c>
      <c r="H8" s="292"/>
      <c r="I8" s="640" t="s">
        <v>14</v>
      </c>
      <c r="J8" s="641"/>
      <c r="K8" s="641"/>
      <c r="L8" s="641"/>
      <c r="M8" s="641"/>
      <c r="N8" s="647"/>
      <c r="O8" s="315" t="s">
        <v>15</v>
      </c>
      <c r="P8" s="315" t="s">
        <v>16</v>
      </c>
      <c r="Q8" s="315" t="s">
        <v>17</v>
      </c>
      <c r="R8" s="315" t="s">
        <v>18</v>
      </c>
    </row>
    <row r="9" spans="1:19" s="4" customFormat="1" ht="126" customHeight="1" x14ac:dyDescent="0.25">
      <c r="A9" s="348">
        <v>1</v>
      </c>
      <c r="B9" s="349" t="s">
        <v>19</v>
      </c>
      <c r="C9" s="338" t="s">
        <v>20</v>
      </c>
      <c r="D9" s="294">
        <v>16</v>
      </c>
      <c r="E9" s="620">
        <v>1</v>
      </c>
      <c r="F9" s="620"/>
      <c r="G9" s="295">
        <v>0.9</v>
      </c>
      <c r="H9" s="296">
        <f t="shared" ref="H9" si="0">D9*G9</f>
        <v>14.4</v>
      </c>
      <c r="I9" s="624" t="s">
        <v>21</v>
      </c>
      <c r="J9" s="622"/>
      <c r="K9" s="622"/>
      <c r="L9" s="622"/>
      <c r="M9" s="622"/>
      <c r="N9" s="623"/>
      <c r="O9" s="336" t="s">
        <v>22</v>
      </c>
      <c r="P9" s="336" t="s">
        <v>23</v>
      </c>
      <c r="Q9" s="336" t="str">
        <f>VLOOKUP(B9,Tabla13[[Código Indra]:[Estado]],10,FALSE)</f>
        <v>Cerrada</v>
      </c>
      <c r="R9" s="308" t="s">
        <v>24</v>
      </c>
    </row>
    <row r="10" spans="1:19" s="4" customFormat="1" ht="126" customHeight="1" x14ac:dyDescent="0.25">
      <c r="A10" s="348">
        <v>2</v>
      </c>
      <c r="B10" s="293" t="s">
        <v>25</v>
      </c>
      <c r="C10" s="338" t="s">
        <v>26</v>
      </c>
      <c r="D10" s="294">
        <v>14</v>
      </c>
      <c r="E10" s="620">
        <v>1</v>
      </c>
      <c r="F10" s="620"/>
      <c r="G10" s="295">
        <v>0.99</v>
      </c>
      <c r="H10" s="296">
        <f t="shared" ref="H10:H17" si="1">D10*G10</f>
        <v>13.86</v>
      </c>
      <c r="I10" s="621" t="s">
        <v>27</v>
      </c>
      <c r="J10" s="622"/>
      <c r="K10" s="622"/>
      <c r="L10" s="622"/>
      <c r="M10" s="622"/>
      <c r="N10" s="623"/>
      <c r="O10" s="336" t="s">
        <v>28</v>
      </c>
      <c r="P10" s="336" t="s">
        <v>29</v>
      </c>
      <c r="Q10" s="294" t="str">
        <f>VLOOKUP(B10,Tabla13[[Código Indra]:[Estado]],10,FALSE)</f>
        <v>Calidad NO OK</v>
      </c>
      <c r="R10" s="117" t="s">
        <v>24</v>
      </c>
    </row>
    <row r="11" spans="1:19" s="4" customFormat="1" ht="126" customHeight="1" x14ac:dyDescent="0.25">
      <c r="A11" s="348">
        <v>3</v>
      </c>
      <c r="B11" s="293" t="s">
        <v>30</v>
      </c>
      <c r="C11" s="338" t="s">
        <v>31</v>
      </c>
      <c r="D11" s="294">
        <v>14</v>
      </c>
      <c r="E11" s="620">
        <v>1</v>
      </c>
      <c r="F11" s="620"/>
      <c r="G11" s="295">
        <v>0.6</v>
      </c>
      <c r="H11" s="296">
        <f t="shared" si="1"/>
        <v>8.4</v>
      </c>
      <c r="I11" s="621" t="s">
        <v>32</v>
      </c>
      <c r="J11" s="622"/>
      <c r="K11" s="622"/>
      <c r="L11" s="622"/>
      <c r="M11" s="622"/>
      <c r="N11" s="623"/>
      <c r="O11" s="336" t="s">
        <v>33</v>
      </c>
      <c r="P11" s="336" t="s">
        <v>34</v>
      </c>
      <c r="Q11" s="294" t="str">
        <f>VLOOKUP(B11,Tabla13[[Código Indra]:[Estado]],10,FALSE)</f>
        <v>Calidad NO OK</v>
      </c>
      <c r="R11" s="117" t="s">
        <v>24</v>
      </c>
    </row>
    <row r="12" spans="1:19" s="4" customFormat="1" ht="126" customHeight="1" x14ac:dyDescent="0.25">
      <c r="A12" s="348">
        <v>4</v>
      </c>
      <c r="B12" s="293" t="s">
        <v>35</v>
      </c>
      <c r="C12" s="338" t="s">
        <v>36</v>
      </c>
      <c r="D12" s="294">
        <v>10</v>
      </c>
      <c r="E12" s="620">
        <v>1</v>
      </c>
      <c r="F12" s="620"/>
      <c r="G12" s="295">
        <v>0.7</v>
      </c>
      <c r="H12" s="296">
        <f t="shared" si="1"/>
        <v>7</v>
      </c>
      <c r="I12" s="621" t="s">
        <v>37</v>
      </c>
      <c r="J12" s="622"/>
      <c r="K12" s="622"/>
      <c r="L12" s="622"/>
      <c r="M12" s="622"/>
      <c r="N12" s="623"/>
      <c r="O12" s="336" t="s">
        <v>38</v>
      </c>
      <c r="P12" s="336" t="s">
        <v>39</v>
      </c>
      <c r="Q12" s="294" t="str">
        <f>VLOOKUP(B12,Tabla13[[Código Indra]:[Estado]],10,FALSE)</f>
        <v>Calidad NO OK</v>
      </c>
      <c r="R12" s="117" t="s">
        <v>24</v>
      </c>
    </row>
    <row r="13" spans="1:19" s="4" customFormat="1" ht="126" customHeight="1" x14ac:dyDescent="0.25">
      <c r="A13" s="348">
        <v>5</v>
      </c>
      <c r="B13" s="293" t="s">
        <v>40</v>
      </c>
      <c r="C13" s="338" t="s">
        <v>41</v>
      </c>
      <c r="D13" s="294">
        <v>10</v>
      </c>
      <c r="E13" s="620">
        <v>1</v>
      </c>
      <c r="F13" s="620"/>
      <c r="G13" s="295">
        <v>0.99</v>
      </c>
      <c r="H13" s="296">
        <f t="shared" si="1"/>
        <v>9.9</v>
      </c>
      <c r="I13" s="621" t="s">
        <v>42</v>
      </c>
      <c r="J13" s="622"/>
      <c r="K13" s="622"/>
      <c r="L13" s="622"/>
      <c r="M13" s="622"/>
      <c r="N13" s="623"/>
      <c r="O13" s="336" t="s">
        <v>43</v>
      </c>
      <c r="P13" s="336" t="s">
        <v>44</v>
      </c>
      <c r="Q13" s="294" t="str">
        <f>VLOOKUP(B13,Tabla13[[Código Indra]:[Estado]],10,FALSE)</f>
        <v>Calidad NO OK</v>
      </c>
      <c r="R13" s="117"/>
    </row>
    <row r="14" spans="1:19" s="4" customFormat="1" ht="126" customHeight="1" x14ac:dyDescent="0.25">
      <c r="A14" s="348">
        <v>6</v>
      </c>
      <c r="B14" s="349" t="s">
        <v>45</v>
      </c>
      <c r="C14" s="338" t="s">
        <v>46</v>
      </c>
      <c r="D14" s="294">
        <v>4</v>
      </c>
      <c r="E14" s="620">
        <v>1</v>
      </c>
      <c r="F14" s="620"/>
      <c r="G14" s="297">
        <v>1</v>
      </c>
      <c r="H14" s="296">
        <f t="shared" si="1"/>
        <v>4</v>
      </c>
      <c r="I14" s="624" t="s">
        <v>47</v>
      </c>
      <c r="J14" s="625"/>
      <c r="K14" s="625"/>
      <c r="L14" s="625"/>
      <c r="M14" s="625"/>
      <c r="N14" s="626"/>
      <c r="O14" s="336" t="s">
        <v>48</v>
      </c>
      <c r="P14" s="336" t="s">
        <v>48</v>
      </c>
      <c r="Q14" s="316" t="e">
        <f>VLOOKUP(B14,Tabla13[[Código Indra]:[Estado]],10,FALSE)</f>
        <v>#N/A</v>
      </c>
      <c r="R14" s="117" t="s">
        <v>24</v>
      </c>
      <c r="S14" s="336"/>
    </row>
    <row r="15" spans="1:19" s="4" customFormat="1" ht="126" customHeight="1" x14ac:dyDescent="0.25">
      <c r="A15" s="348">
        <v>7</v>
      </c>
      <c r="B15" s="293" t="s">
        <v>49</v>
      </c>
      <c r="C15" s="338" t="s">
        <v>50</v>
      </c>
      <c r="D15" s="294">
        <v>20</v>
      </c>
      <c r="E15" s="620">
        <v>2</v>
      </c>
      <c r="F15" s="620"/>
      <c r="G15" s="295">
        <v>0.9</v>
      </c>
      <c r="H15" s="296">
        <f t="shared" si="1"/>
        <v>18</v>
      </c>
      <c r="I15" s="621" t="s">
        <v>51</v>
      </c>
      <c r="J15" s="622"/>
      <c r="K15" s="622"/>
      <c r="L15" s="622"/>
      <c r="M15" s="622"/>
      <c r="N15" s="623"/>
      <c r="O15" s="336" t="s">
        <v>48</v>
      </c>
      <c r="P15" s="336" t="s">
        <v>48</v>
      </c>
      <c r="Q15" s="294" t="str">
        <f>VLOOKUP(B15,Tabla13[[Código Indra]:[Estado]],10,FALSE)</f>
        <v>Cerrada</v>
      </c>
      <c r="R15" s="117" t="s">
        <v>24</v>
      </c>
    </row>
    <row r="16" spans="1:19" s="4" customFormat="1" ht="126" customHeight="1" x14ac:dyDescent="0.25">
      <c r="A16" s="348">
        <v>8</v>
      </c>
      <c r="B16" s="349" t="s">
        <v>52</v>
      </c>
      <c r="C16" s="338" t="s">
        <v>53</v>
      </c>
      <c r="D16" s="294">
        <v>20</v>
      </c>
      <c r="E16" s="620">
        <v>2</v>
      </c>
      <c r="F16" s="620"/>
      <c r="G16" s="295">
        <v>0.99</v>
      </c>
      <c r="H16" s="296">
        <f t="shared" si="1"/>
        <v>19.8</v>
      </c>
      <c r="I16" s="621" t="s">
        <v>54</v>
      </c>
      <c r="J16" s="622"/>
      <c r="K16" s="622"/>
      <c r="L16" s="622"/>
      <c r="M16" s="622"/>
      <c r="N16" s="623"/>
      <c r="O16" s="355"/>
      <c r="P16" s="336" t="s">
        <v>55</v>
      </c>
      <c r="Q16" s="294" t="str">
        <f>VLOOKUP(B16,Tabla13[[Código Indra]:[Estado]],10,FALSE)</f>
        <v>Cerrada</v>
      </c>
      <c r="R16" s="117" t="s">
        <v>24</v>
      </c>
    </row>
    <row r="17" spans="1:18" s="4" customFormat="1" ht="126" customHeight="1" x14ac:dyDescent="0.25">
      <c r="A17" s="348">
        <v>9</v>
      </c>
      <c r="B17" s="349" t="s">
        <v>56</v>
      </c>
      <c r="C17" s="338" t="s">
        <v>57</v>
      </c>
      <c r="D17" s="294">
        <v>12</v>
      </c>
      <c r="E17" s="620">
        <v>1</v>
      </c>
      <c r="F17" s="620"/>
      <c r="G17" s="295">
        <v>0.9</v>
      </c>
      <c r="H17" s="296">
        <f t="shared" si="1"/>
        <v>10.8</v>
      </c>
      <c r="I17" s="621" t="s">
        <v>58</v>
      </c>
      <c r="J17" s="622"/>
      <c r="K17" s="622"/>
      <c r="L17" s="622"/>
      <c r="M17" s="622"/>
      <c r="N17" s="623"/>
      <c r="O17" s="355" t="s">
        <v>55</v>
      </c>
      <c r="P17" s="336" t="s">
        <v>59</v>
      </c>
      <c r="Q17" s="294" t="str">
        <f>VLOOKUP(B17,Tabla13[[Código Indra]:[Estado]],10,FALSE)</f>
        <v>Calidad NO OK</v>
      </c>
      <c r="R17" s="117"/>
    </row>
    <row r="18" spans="1:18" s="4" customFormat="1" ht="126" customHeight="1" x14ac:dyDescent="0.25">
      <c r="A18" s="348">
        <v>10</v>
      </c>
      <c r="B18" s="349" t="s">
        <v>60</v>
      </c>
      <c r="C18" s="338" t="s">
        <v>61</v>
      </c>
      <c r="D18" s="294">
        <v>12</v>
      </c>
      <c r="E18" s="620">
        <v>1</v>
      </c>
      <c r="F18" s="620"/>
      <c r="G18" s="314">
        <v>0.99</v>
      </c>
      <c r="H18" s="338"/>
      <c r="I18" s="622" t="s">
        <v>62</v>
      </c>
      <c r="J18" s="622"/>
      <c r="K18" s="622"/>
      <c r="L18" s="622"/>
      <c r="M18" s="622"/>
      <c r="N18" s="623"/>
      <c r="O18" s="355" t="s">
        <v>63</v>
      </c>
      <c r="P18" s="336" t="s">
        <v>59</v>
      </c>
      <c r="Q18" s="317" t="str">
        <f>VLOOKUP(B18,Tabla13[[Código Indra]:[Estado]],10,FALSE)</f>
        <v>Calidad NO OK</v>
      </c>
      <c r="R18" s="117"/>
    </row>
    <row r="19" spans="1:18" s="4" customFormat="1" ht="126" customHeight="1" x14ac:dyDescent="0.25">
      <c r="A19" s="348">
        <v>11</v>
      </c>
      <c r="B19" s="293" t="s">
        <v>64</v>
      </c>
      <c r="C19" s="338" t="s">
        <v>65</v>
      </c>
      <c r="D19" s="294">
        <v>12</v>
      </c>
      <c r="E19" s="620">
        <v>1</v>
      </c>
      <c r="F19" s="620"/>
      <c r="G19" s="297">
        <v>1</v>
      </c>
      <c r="H19" s="298">
        <f t="shared" ref="H19:H29" si="2">D19*G19</f>
        <v>12</v>
      </c>
      <c r="I19" s="624" t="s">
        <v>66</v>
      </c>
      <c r="J19" s="625"/>
      <c r="K19" s="625"/>
      <c r="L19" s="625"/>
      <c r="M19" s="625"/>
      <c r="N19" s="626"/>
      <c r="O19" s="356"/>
      <c r="P19" s="336"/>
      <c r="Q19" s="294" t="e">
        <f>VLOOKUP(B19,Tabla13[[Código Indra]:[Estado]],10,FALSE)</f>
        <v>#N/A</v>
      </c>
      <c r="R19" s="117"/>
    </row>
    <row r="20" spans="1:18" s="4" customFormat="1" ht="126" customHeight="1" x14ac:dyDescent="0.25">
      <c r="A20" s="348">
        <v>12</v>
      </c>
      <c r="B20" s="349" t="s">
        <v>67</v>
      </c>
      <c r="C20" s="338" t="s">
        <v>68</v>
      </c>
      <c r="D20" s="294">
        <v>12</v>
      </c>
      <c r="E20" s="620">
        <v>1</v>
      </c>
      <c r="F20" s="620"/>
      <c r="G20" s="297">
        <v>1</v>
      </c>
      <c r="H20" s="298">
        <f t="shared" si="2"/>
        <v>12</v>
      </c>
      <c r="I20" s="621" t="s">
        <v>69</v>
      </c>
      <c r="J20" s="622"/>
      <c r="K20" s="622"/>
      <c r="L20" s="622"/>
      <c r="M20" s="622"/>
      <c r="N20" s="623"/>
      <c r="O20" s="355"/>
      <c r="P20" s="336"/>
      <c r="Q20" s="294" t="str">
        <f>VLOOKUP(B20,Tabla13[[Código Indra]:[Estado]],10,FALSE)</f>
        <v>Calidad NO OK</v>
      </c>
      <c r="R20" s="117"/>
    </row>
    <row r="21" spans="1:18" s="4" customFormat="1" ht="126" customHeight="1" x14ac:dyDescent="0.25">
      <c r="A21" s="348">
        <v>13</v>
      </c>
      <c r="B21" s="293" t="s">
        <v>70</v>
      </c>
      <c r="C21" s="338" t="s">
        <v>71</v>
      </c>
      <c r="D21" s="294">
        <v>12</v>
      </c>
      <c r="E21" s="620">
        <v>1</v>
      </c>
      <c r="F21" s="620"/>
      <c r="G21" s="295">
        <v>0.99</v>
      </c>
      <c r="H21" s="298">
        <f t="shared" si="2"/>
        <v>11.879999999999999</v>
      </c>
      <c r="I21" s="621" t="s">
        <v>72</v>
      </c>
      <c r="J21" s="622"/>
      <c r="K21" s="622"/>
      <c r="L21" s="622"/>
      <c r="M21" s="622"/>
      <c r="N21" s="623"/>
      <c r="O21" s="355"/>
      <c r="P21" s="336"/>
      <c r="Q21" s="294" t="e">
        <f>VLOOKUP(B21,Tabla13[[Código Indra]:[Estado]],10,FALSE)</f>
        <v>#N/A</v>
      </c>
      <c r="R21" s="117"/>
    </row>
    <row r="22" spans="1:18" s="4" customFormat="1" ht="126" customHeight="1" x14ac:dyDescent="0.25">
      <c r="A22" s="348">
        <v>14</v>
      </c>
      <c r="B22" s="349" t="s">
        <v>73</v>
      </c>
      <c r="C22" s="338" t="s">
        <v>74</v>
      </c>
      <c r="D22" s="294">
        <v>12</v>
      </c>
      <c r="E22" s="620">
        <v>1</v>
      </c>
      <c r="F22" s="620"/>
      <c r="G22" s="295">
        <v>0.9</v>
      </c>
      <c r="H22" s="298">
        <f t="shared" si="2"/>
        <v>10.8</v>
      </c>
      <c r="I22" s="621" t="s">
        <v>75</v>
      </c>
      <c r="J22" s="622"/>
      <c r="K22" s="622"/>
      <c r="L22" s="622"/>
      <c r="M22" s="622"/>
      <c r="N22" s="623"/>
      <c r="O22" s="355"/>
      <c r="P22" s="336"/>
      <c r="Q22" s="294" t="str">
        <f>VLOOKUP(B22,Tabla13[[Código Indra]:[Estado]],10,FALSE)</f>
        <v>Cerrada</v>
      </c>
      <c r="R22" s="117"/>
    </row>
    <row r="23" spans="1:18" s="4" customFormat="1" ht="126" customHeight="1" x14ac:dyDescent="0.25">
      <c r="A23" s="348">
        <v>15</v>
      </c>
      <c r="B23" s="293" t="s">
        <v>76</v>
      </c>
      <c r="C23" s="338" t="s">
        <v>77</v>
      </c>
      <c r="D23" s="294">
        <v>12</v>
      </c>
      <c r="E23" s="620">
        <v>1</v>
      </c>
      <c r="F23" s="620"/>
      <c r="G23" s="297">
        <v>1</v>
      </c>
      <c r="H23" s="298">
        <f t="shared" si="2"/>
        <v>12</v>
      </c>
      <c r="I23" s="624" t="s">
        <v>78</v>
      </c>
      <c r="J23" s="625"/>
      <c r="K23" s="625"/>
      <c r="L23" s="625"/>
      <c r="M23" s="625"/>
      <c r="N23" s="626"/>
      <c r="O23" s="356"/>
      <c r="P23" s="336"/>
      <c r="Q23" s="294" t="e">
        <f>VLOOKUP(B23,Tabla13[[Código Indra]:[Estado]],10,FALSE)</f>
        <v>#N/A</v>
      </c>
      <c r="R23" s="117"/>
    </row>
    <row r="24" spans="1:18" s="4" customFormat="1" ht="126" customHeight="1" x14ac:dyDescent="0.25">
      <c r="A24" s="348">
        <v>16</v>
      </c>
      <c r="B24" s="349" t="s">
        <v>79</v>
      </c>
      <c r="C24" s="338" t="s">
        <v>80</v>
      </c>
      <c r="D24" s="294">
        <v>12</v>
      </c>
      <c r="E24" s="620">
        <v>2</v>
      </c>
      <c r="F24" s="620"/>
      <c r="G24" s="295">
        <v>0.99</v>
      </c>
      <c r="H24" s="296">
        <f t="shared" si="2"/>
        <v>11.879999999999999</v>
      </c>
      <c r="I24" s="621" t="s">
        <v>81</v>
      </c>
      <c r="J24" s="622"/>
      <c r="K24" s="622"/>
      <c r="L24" s="622"/>
      <c r="M24" s="622"/>
      <c r="N24" s="623"/>
      <c r="O24" s="355"/>
      <c r="P24" s="336"/>
      <c r="Q24" s="294" t="str">
        <f>VLOOKUP(B24,Tabla13[[Código Indra]:[Estado]],10,FALSE)</f>
        <v>Calidad NO OK</v>
      </c>
      <c r="R24" s="117"/>
    </row>
    <row r="25" spans="1:18" s="4" customFormat="1" ht="126" customHeight="1" x14ac:dyDescent="0.25">
      <c r="A25" s="348">
        <v>17</v>
      </c>
      <c r="B25" s="349" t="s">
        <v>82</v>
      </c>
      <c r="C25" s="338" t="s">
        <v>83</v>
      </c>
      <c r="D25" s="294">
        <v>32</v>
      </c>
      <c r="E25" s="620">
        <v>2</v>
      </c>
      <c r="F25" s="620"/>
      <c r="G25" s="295">
        <v>0.95</v>
      </c>
      <c r="H25" s="296">
        <f t="shared" si="2"/>
        <v>30.4</v>
      </c>
      <c r="I25" s="621" t="s">
        <v>84</v>
      </c>
      <c r="J25" s="622"/>
      <c r="K25" s="622"/>
      <c r="L25" s="622"/>
      <c r="M25" s="622"/>
      <c r="N25" s="623"/>
      <c r="O25" s="355"/>
      <c r="P25" s="316"/>
      <c r="Q25" s="294" t="e">
        <f>VLOOKUP(B25,Tabla13[[Código Indra]:[Estado]],10,FALSE)</f>
        <v>#N/A</v>
      </c>
      <c r="R25" s="117"/>
    </row>
    <row r="26" spans="1:18" s="4" customFormat="1" ht="126" customHeight="1" x14ac:dyDescent="0.25">
      <c r="A26" s="348">
        <v>18</v>
      </c>
      <c r="B26" s="293" t="s">
        <v>85</v>
      </c>
      <c r="C26" s="338" t="s">
        <v>86</v>
      </c>
      <c r="D26" s="294">
        <v>3</v>
      </c>
      <c r="E26" s="620">
        <v>1</v>
      </c>
      <c r="F26" s="620"/>
      <c r="G26" s="297">
        <v>1</v>
      </c>
      <c r="H26" s="298">
        <f t="shared" si="2"/>
        <v>3</v>
      </c>
      <c r="I26" s="624" t="s">
        <v>87</v>
      </c>
      <c r="J26" s="625"/>
      <c r="K26" s="625"/>
      <c r="L26" s="625"/>
      <c r="M26" s="625"/>
      <c r="N26" s="626"/>
      <c r="O26" s="356"/>
      <c r="P26" s="316"/>
      <c r="Q26" s="294" t="e">
        <f>VLOOKUP(B26,Tabla13[[Código Indra]:[Estado]],10,FALSE)</f>
        <v>#N/A</v>
      </c>
      <c r="R26" s="117"/>
    </row>
    <row r="27" spans="1:18" s="4" customFormat="1" ht="126" customHeight="1" x14ac:dyDescent="0.25">
      <c r="A27" s="348">
        <v>19</v>
      </c>
      <c r="B27" s="349" t="s">
        <v>88</v>
      </c>
      <c r="C27" s="338" t="s">
        <v>89</v>
      </c>
      <c r="D27" s="294">
        <v>4</v>
      </c>
      <c r="E27" s="620">
        <v>1</v>
      </c>
      <c r="F27" s="620"/>
      <c r="G27" s="295">
        <v>0.66</v>
      </c>
      <c r="H27" s="296">
        <f t="shared" si="2"/>
        <v>2.64</v>
      </c>
      <c r="I27" s="621" t="s">
        <v>90</v>
      </c>
      <c r="J27" s="622"/>
      <c r="K27" s="622"/>
      <c r="L27" s="622"/>
      <c r="M27" s="622"/>
      <c r="N27" s="623"/>
      <c r="O27" s="355"/>
      <c r="P27" s="316"/>
      <c r="Q27" s="294" t="str">
        <f>VLOOKUP(B27,Tabla13[[Código Indra]:[Estado]],10,FALSE)</f>
        <v>Cerrada</v>
      </c>
      <c r="R27" s="117"/>
    </row>
    <row r="28" spans="1:18" s="4" customFormat="1" ht="126" customHeight="1" x14ac:dyDescent="0.25">
      <c r="A28" s="348">
        <v>20</v>
      </c>
      <c r="B28" s="349" t="s">
        <v>91</v>
      </c>
      <c r="C28" s="338" t="s">
        <v>92</v>
      </c>
      <c r="D28" s="294"/>
      <c r="E28" s="620"/>
      <c r="F28" s="620"/>
      <c r="G28" s="300">
        <v>0.8</v>
      </c>
      <c r="H28" s="296">
        <f t="shared" si="2"/>
        <v>0</v>
      </c>
      <c r="I28" s="621" t="s">
        <v>24</v>
      </c>
      <c r="J28" s="622"/>
      <c r="K28" s="622"/>
      <c r="L28" s="622"/>
      <c r="M28" s="622"/>
      <c r="N28" s="623"/>
      <c r="O28" s="355"/>
      <c r="P28" s="316"/>
      <c r="Q28" s="294" t="str">
        <f>VLOOKUP(B28,Tabla13[[Código Indra]:[Estado]],10,FALSE)</f>
        <v>Calidad NO OK</v>
      </c>
      <c r="R28" s="117"/>
    </row>
    <row r="29" spans="1:18" s="4" customFormat="1" ht="126" customHeight="1" x14ac:dyDescent="0.25">
      <c r="A29" s="348">
        <v>21</v>
      </c>
      <c r="B29" s="349" t="s">
        <v>93</v>
      </c>
      <c r="C29" s="338" t="s">
        <v>94</v>
      </c>
      <c r="D29" s="294"/>
      <c r="E29" s="620"/>
      <c r="F29" s="620"/>
      <c r="G29" s="297">
        <v>1</v>
      </c>
      <c r="H29" s="298">
        <f t="shared" si="2"/>
        <v>0</v>
      </c>
      <c r="I29" s="621" t="s">
        <v>24</v>
      </c>
      <c r="J29" s="622"/>
      <c r="K29" s="622"/>
      <c r="L29" s="622"/>
      <c r="M29" s="622"/>
      <c r="N29" s="623"/>
      <c r="O29" s="355"/>
      <c r="P29" s="316"/>
      <c r="Q29" s="294" t="str">
        <f>VLOOKUP(B29,Tabla13[[Código Indra]:[Estado]],10,FALSE)</f>
        <v>Cerrada</v>
      </c>
      <c r="R29" s="117"/>
    </row>
    <row r="30" spans="1:18" s="4" customFormat="1" ht="126" customHeight="1" x14ac:dyDescent="0.25">
      <c r="A30" s="348">
        <v>22</v>
      </c>
      <c r="B30" s="293" t="s">
        <v>95</v>
      </c>
      <c r="C30" s="338" t="s">
        <v>96</v>
      </c>
      <c r="D30" s="299"/>
      <c r="E30" s="620"/>
      <c r="F30" s="620"/>
      <c r="G30" s="300">
        <v>0</v>
      </c>
      <c r="H30" s="298"/>
      <c r="I30" s="621" t="s">
        <v>24</v>
      </c>
      <c r="J30" s="622"/>
      <c r="K30" s="622"/>
      <c r="L30" s="622"/>
      <c r="M30" s="622"/>
      <c r="N30" s="623"/>
      <c r="O30" s="355"/>
      <c r="P30" s="316"/>
      <c r="Q30" s="294" t="str">
        <f>VLOOKUP(B30,Tabla13[[Código Indra]:[Estado]],10,FALSE)</f>
        <v>Cerrada</v>
      </c>
      <c r="R30" s="117"/>
    </row>
    <row r="31" spans="1:18" s="4" customFormat="1" ht="126" customHeight="1" x14ac:dyDescent="0.25">
      <c r="A31" s="348">
        <v>23</v>
      </c>
      <c r="B31" s="340" t="s">
        <v>97</v>
      </c>
      <c r="C31" s="340" t="s">
        <v>98</v>
      </c>
      <c r="D31" s="299"/>
      <c r="E31" s="620"/>
      <c r="F31" s="620"/>
      <c r="G31" s="300"/>
      <c r="H31" s="298"/>
      <c r="I31" s="621" t="s">
        <v>99</v>
      </c>
      <c r="J31" s="622"/>
      <c r="K31" s="622"/>
      <c r="L31" s="622"/>
      <c r="M31" s="622"/>
      <c r="N31" s="623"/>
      <c r="O31" s="355"/>
      <c r="P31" s="316"/>
      <c r="Q31" s="294"/>
      <c r="R31" s="117"/>
    </row>
    <row r="32" spans="1:18" s="4" customFormat="1" ht="126" customHeight="1" x14ac:dyDescent="0.25">
      <c r="A32" s="348">
        <v>24</v>
      </c>
      <c r="B32" s="293" t="s">
        <v>100</v>
      </c>
      <c r="C32" s="338" t="s">
        <v>101</v>
      </c>
      <c r="D32" s="294">
        <v>8</v>
      </c>
      <c r="E32" s="620">
        <v>1</v>
      </c>
      <c r="F32" s="620"/>
      <c r="G32" s="295">
        <v>1</v>
      </c>
      <c r="H32" s="296">
        <f t="shared" ref="H32:H39" si="3">D32*G32</f>
        <v>8</v>
      </c>
      <c r="I32" s="621" t="s">
        <v>102</v>
      </c>
      <c r="J32" s="622"/>
      <c r="K32" s="622"/>
      <c r="L32" s="622"/>
      <c r="M32" s="622"/>
      <c r="N32" s="623"/>
      <c r="O32" s="355"/>
      <c r="P32" s="316"/>
      <c r="Q32" s="294" t="str">
        <f>VLOOKUP(B32,Tabla13[[Código Indra]:[Estado]],10,FALSE)</f>
        <v>Cerrada</v>
      </c>
      <c r="R32" s="117"/>
    </row>
    <row r="33" spans="1:18" s="4" customFormat="1" ht="126" customHeight="1" x14ac:dyDescent="0.25">
      <c r="A33" s="348">
        <v>25</v>
      </c>
      <c r="B33" s="293" t="s">
        <v>103</v>
      </c>
      <c r="C33" s="338" t="s">
        <v>104</v>
      </c>
      <c r="D33" s="294">
        <v>16</v>
      </c>
      <c r="E33" s="620">
        <v>1</v>
      </c>
      <c r="F33" s="620"/>
      <c r="G33" s="295">
        <v>0.8</v>
      </c>
      <c r="H33" s="296">
        <f t="shared" si="3"/>
        <v>12.8</v>
      </c>
      <c r="I33" s="621" t="s">
        <v>24</v>
      </c>
      <c r="J33" s="622"/>
      <c r="K33" s="622"/>
      <c r="L33" s="622"/>
      <c r="M33" s="622"/>
      <c r="N33" s="623"/>
      <c r="O33" s="355"/>
      <c r="P33" s="316"/>
      <c r="Q33" s="294" t="str">
        <f>VLOOKUP(B33,Tabla13[[Código Indra]:[Estado]],10,FALSE)</f>
        <v>Cerrada</v>
      </c>
      <c r="R33" s="117"/>
    </row>
    <row r="34" spans="1:18" s="4" customFormat="1" ht="126" customHeight="1" x14ac:dyDescent="0.25">
      <c r="A34" s="348">
        <v>26</v>
      </c>
      <c r="B34" s="293" t="s">
        <v>105</v>
      </c>
      <c r="C34" s="338" t="s">
        <v>106</v>
      </c>
      <c r="D34" s="294">
        <v>16</v>
      </c>
      <c r="E34" s="620">
        <v>1</v>
      </c>
      <c r="F34" s="620"/>
      <c r="G34" s="295">
        <v>0.7</v>
      </c>
      <c r="H34" s="296">
        <f t="shared" si="3"/>
        <v>11.2</v>
      </c>
      <c r="I34" s="621" t="s">
        <v>107</v>
      </c>
      <c r="J34" s="622"/>
      <c r="K34" s="622"/>
      <c r="L34" s="622"/>
      <c r="M34" s="622"/>
      <c r="N34" s="623"/>
      <c r="O34" s="355"/>
      <c r="P34" s="316"/>
      <c r="Q34" s="294" t="str">
        <f>VLOOKUP(B34,Tabla13[[Código Indra]:[Estado]],10,FALSE)</f>
        <v>Cerrada</v>
      </c>
      <c r="R34" s="117"/>
    </row>
    <row r="35" spans="1:18" s="4" customFormat="1" ht="126" customHeight="1" x14ac:dyDescent="0.25">
      <c r="A35" s="348">
        <v>27</v>
      </c>
      <c r="B35" s="293" t="s">
        <v>108</v>
      </c>
      <c r="C35" s="338" t="s">
        <v>109</v>
      </c>
      <c r="D35" s="294">
        <v>8</v>
      </c>
      <c r="E35" s="620">
        <v>1</v>
      </c>
      <c r="F35" s="620"/>
      <c r="G35" s="297">
        <v>1</v>
      </c>
      <c r="H35" s="296">
        <f t="shared" si="3"/>
        <v>8</v>
      </c>
      <c r="I35" s="621" t="s">
        <v>110</v>
      </c>
      <c r="J35" s="622"/>
      <c r="K35" s="622"/>
      <c r="L35" s="622"/>
      <c r="M35" s="622"/>
      <c r="N35" s="623"/>
      <c r="O35" s="355"/>
      <c r="P35" s="316"/>
      <c r="Q35" s="294" t="str">
        <f>VLOOKUP(B35,Tabla13[[Código Indra]:[Estado]],10,FALSE)</f>
        <v>Cerrada</v>
      </c>
      <c r="R35" s="117"/>
    </row>
    <row r="36" spans="1:18" s="4" customFormat="1" ht="126" customHeight="1" x14ac:dyDescent="0.25">
      <c r="A36" s="348">
        <v>28</v>
      </c>
      <c r="B36" s="293" t="s">
        <v>111</v>
      </c>
      <c r="C36" s="338" t="s">
        <v>112</v>
      </c>
      <c r="D36" s="294">
        <v>40</v>
      </c>
      <c r="E36" s="620">
        <v>3</v>
      </c>
      <c r="F36" s="620"/>
      <c r="G36" s="297">
        <v>1</v>
      </c>
      <c r="H36" s="298">
        <f t="shared" si="3"/>
        <v>40</v>
      </c>
      <c r="I36" s="624" t="s">
        <v>113</v>
      </c>
      <c r="J36" s="625"/>
      <c r="K36" s="625"/>
      <c r="L36" s="625"/>
      <c r="M36" s="625"/>
      <c r="N36" s="626"/>
      <c r="O36" s="356"/>
      <c r="P36" s="316"/>
      <c r="Q36" s="294" t="str">
        <f>VLOOKUP(B36,Tabla13[[Código Indra]:[Estado]],10,FALSE)</f>
        <v>Calidad NO OK</v>
      </c>
      <c r="R36" s="117"/>
    </row>
    <row r="37" spans="1:18" s="4" customFormat="1" ht="126" customHeight="1" x14ac:dyDescent="0.25">
      <c r="A37" s="348">
        <v>29</v>
      </c>
      <c r="B37" s="293"/>
      <c r="C37" s="338" t="s">
        <v>114</v>
      </c>
      <c r="D37" s="294">
        <v>40</v>
      </c>
      <c r="E37" s="620">
        <v>2</v>
      </c>
      <c r="F37" s="620"/>
      <c r="G37" s="314">
        <v>0.6</v>
      </c>
      <c r="H37" s="296">
        <f t="shared" si="3"/>
        <v>24</v>
      </c>
      <c r="I37" s="621"/>
      <c r="J37" s="622"/>
      <c r="K37" s="622"/>
      <c r="L37" s="622"/>
      <c r="M37" s="622"/>
      <c r="N37" s="623"/>
      <c r="O37" s="355"/>
      <c r="P37" s="316"/>
      <c r="Q37" s="294" t="e">
        <f>VLOOKUP(B37,Tabla13[[Código Indra]:[Estado]],10,FALSE)</f>
        <v>#N/A</v>
      </c>
      <c r="R37" s="117"/>
    </row>
    <row r="38" spans="1:18" s="4" customFormat="1" ht="126" customHeight="1" x14ac:dyDescent="0.25">
      <c r="A38" s="348">
        <v>30</v>
      </c>
      <c r="B38" s="293" t="s">
        <v>115</v>
      </c>
      <c r="C38" s="338" t="s">
        <v>116</v>
      </c>
      <c r="D38" s="294">
        <v>20</v>
      </c>
      <c r="E38" s="620">
        <v>2</v>
      </c>
      <c r="F38" s="620"/>
      <c r="G38" s="314">
        <v>0.8</v>
      </c>
      <c r="H38" s="296">
        <f t="shared" si="3"/>
        <v>16</v>
      </c>
      <c r="I38" s="651" t="s">
        <v>117</v>
      </c>
      <c r="J38" s="625"/>
      <c r="K38" s="625"/>
      <c r="L38" s="625"/>
      <c r="M38" s="625"/>
      <c r="N38" s="626"/>
      <c r="O38" s="356"/>
      <c r="P38" s="316"/>
      <c r="Q38" s="294" t="str">
        <f>VLOOKUP(B38,Tabla13[[Código Indra]:[Estado]],10,FALSE)</f>
        <v>Calidad NO OK</v>
      </c>
      <c r="R38" s="117"/>
    </row>
    <row r="39" spans="1:18" s="4" customFormat="1" ht="126" customHeight="1" x14ac:dyDescent="0.25">
      <c r="A39" s="348">
        <v>31</v>
      </c>
      <c r="B39" s="293" t="s">
        <v>118</v>
      </c>
      <c r="C39" s="338" t="s">
        <v>119</v>
      </c>
      <c r="D39" s="294">
        <v>3</v>
      </c>
      <c r="E39" s="620">
        <v>1</v>
      </c>
      <c r="F39" s="620"/>
      <c r="G39" s="297">
        <v>1</v>
      </c>
      <c r="H39" s="298">
        <f t="shared" si="3"/>
        <v>3</v>
      </c>
      <c r="I39" s="652" t="s">
        <v>24</v>
      </c>
      <c r="J39" s="622"/>
      <c r="K39" s="622"/>
      <c r="L39" s="622"/>
      <c r="M39" s="622"/>
      <c r="N39" s="623"/>
      <c r="O39" s="355"/>
      <c r="P39" s="316"/>
      <c r="Q39" s="294" t="str">
        <f>VLOOKUP(B39,Tabla13[[Código Indra]:[Estado]],10,FALSE)</f>
        <v>Cerrada</v>
      </c>
      <c r="R39" s="117"/>
    </row>
    <row r="40" spans="1:18" s="4" customFormat="1" ht="126" customHeight="1" x14ac:dyDescent="0.25">
      <c r="A40" s="348">
        <v>32</v>
      </c>
      <c r="B40" s="293" t="s">
        <v>120</v>
      </c>
      <c r="C40" s="339" t="s">
        <v>121</v>
      </c>
      <c r="D40" s="294">
        <v>3</v>
      </c>
      <c r="E40" s="620">
        <v>1</v>
      </c>
      <c r="F40" s="620"/>
      <c r="G40" s="295">
        <f>3/9</f>
        <v>0.33333333333333331</v>
      </c>
      <c r="H40" s="296">
        <f t="shared" ref="H40:H74" si="4">D40*G40</f>
        <v>1</v>
      </c>
      <c r="I40" s="621" t="s">
        <v>122</v>
      </c>
      <c r="J40" s="622"/>
      <c r="K40" s="622"/>
      <c r="L40" s="622"/>
      <c r="M40" s="622"/>
      <c r="N40" s="623"/>
      <c r="O40" s="355"/>
      <c r="P40" s="316"/>
      <c r="Q40" s="294" t="str">
        <f>VLOOKUP(B40,Tabla13[[Código Indra]:[Estado]],10,FALSE)</f>
        <v>Cerrada</v>
      </c>
      <c r="R40" s="117"/>
    </row>
    <row r="41" spans="1:18" s="4" customFormat="1" ht="126" customHeight="1" x14ac:dyDescent="0.25">
      <c r="A41" s="348">
        <v>33</v>
      </c>
      <c r="B41" s="293" t="s">
        <v>123</v>
      </c>
      <c r="C41" s="338" t="s">
        <v>124</v>
      </c>
      <c r="D41" s="294">
        <v>1</v>
      </c>
      <c r="E41" s="620">
        <v>1</v>
      </c>
      <c r="F41" s="620"/>
      <c r="G41" s="297">
        <v>1</v>
      </c>
      <c r="H41" s="298">
        <f t="shared" si="4"/>
        <v>1</v>
      </c>
      <c r="I41" s="642" t="s">
        <v>24</v>
      </c>
      <c r="J41" s="620"/>
      <c r="K41" s="620"/>
      <c r="L41" s="620"/>
      <c r="M41" s="620"/>
      <c r="N41" s="643"/>
      <c r="O41" s="354"/>
      <c r="P41" s="316"/>
      <c r="Q41" s="294" t="str">
        <f>VLOOKUP(B41,Tabla13[[Código Indra]:[Estado]],10,FALSE)</f>
        <v>Cerrada</v>
      </c>
      <c r="R41" s="117"/>
    </row>
    <row r="42" spans="1:18" s="4" customFormat="1" ht="126" customHeight="1" x14ac:dyDescent="0.25">
      <c r="A42" s="348">
        <v>34</v>
      </c>
      <c r="B42" s="293" t="s">
        <v>125</v>
      </c>
      <c r="C42" s="338" t="s">
        <v>126</v>
      </c>
      <c r="D42" s="294">
        <v>1</v>
      </c>
      <c r="E42" s="620">
        <v>1</v>
      </c>
      <c r="F42" s="620"/>
      <c r="G42" s="297">
        <v>1</v>
      </c>
      <c r="H42" s="298">
        <f t="shared" si="4"/>
        <v>1</v>
      </c>
      <c r="I42" s="642" t="s">
        <v>24</v>
      </c>
      <c r="J42" s="620"/>
      <c r="K42" s="620"/>
      <c r="L42" s="620"/>
      <c r="M42" s="620"/>
      <c r="N42" s="643"/>
      <c r="O42" s="354"/>
      <c r="P42" s="316"/>
      <c r="Q42" s="294" t="str">
        <f>VLOOKUP(B42,Tabla13[[Código Indra]:[Estado]],10,FALSE)</f>
        <v>Cerrada</v>
      </c>
      <c r="R42" s="117"/>
    </row>
    <row r="43" spans="1:18" s="4" customFormat="1" ht="126" customHeight="1" x14ac:dyDescent="0.25">
      <c r="A43" s="348">
        <v>35</v>
      </c>
      <c r="B43" s="293" t="s">
        <v>127</v>
      </c>
      <c r="C43" s="338" t="s">
        <v>128</v>
      </c>
      <c r="D43" s="294">
        <v>3</v>
      </c>
      <c r="E43" s="620">
        <v>1</v>
      </c>
      <c r="F43" s="620"/>
      <c r="G43" s="295">
        <f>3/9</f>
        <v>0.33333333333333331</v>
      </c>
      <c r="H43" s="296">
        <f t="shared" si="4"/>
        <v>1</v>
      </c>
      <c r="I43" s="621" t="s">
        <v>129</v>
      </c>
      <c r="J43" s="622"/>
      <c r="K43" s="622"/>
      <c r="L43" s="622"/>
      <c r="M43" s="622"/>
      <c r="N43" s="623"/>
      <c r="O43" s="355"/>
      <c r="P43" s="316"/>
      <c r="Q43" s="294" t="str">
        <f>VLOOKUP(B43,Tabla13[[Código Indra]:[Estado]],10,FALSE)</f>
        <v>Cerrada</v>
      </c>
      <c r="R43" s="117"/>
    </row>
    <row r="44" spans="1:18" s="4" customFormat="1" ht="126" customHeight="1" x14ac:dyDescent="0.25">
      <c r="A44" s="348">
        <v>36</v>
      </c>
      <c r="B44" s="293" t="s">
        <v>130</v>
      </c>
      <c r="C44" s="338" t="s">
        <v>131</v>
      </c>
      <c r="D44" s="294">
        <v>3</v>
      </c>
      <c r="E44" s="620">
        <v>1</v>
      </c>
      <c r="F44" s="620"/>
      <c r="G44" s="295">
        <v>1</v>
      </c>
      <c r="H44" s="296">
        <f t="shared" si="4"/>
        <v>3</v>
      </c>
      <c r="I44" s="621" t="s">
        <v>132</v>
      </c>
      <c r="J44" s="622"/>
      <c r="K44" s="622"/>
      <c r="L44" s="622"/>
      <c r="M44" s="622"/>
      <c r="N44" s="623"/>
      <c r="O44" s="355"/>
      <c r="P44" s="316"/>
      <c r="Q44" s="294" t="str">
        <f>VLOOKUP(B44,Tabla13[[Código Indra]:[Estado]],10,FALSE)</f>
        <v>Calidad NO OK</v>
      </c>
      <c r="R44" s="117"/>
    </row>
    <row r="45" spans="1:18" s="4" customFormat="1" ht="126" customHeight="1" x14ac:dyDescent="0.25">
      <c r="A45" s="348">
        <v>37</v>
      </c>
      <c r="B45" s="293" t="s">
        <v>133</v>
      </c>
      <c r="C45" s="338" t="s">
        <v>134</v>
      </c>
      <c r="D45" s="294">
        <v>3</v>
      </c>
      <c r="E45" s="620">
        <v>1</v>
      </c>
      <c r="F45" s="620"/>
      <c r="G45" s="295">
        <v>0.8</v>
      </c>
      <c r="H45" s="296">
        <f t="shared" ref="H45" si="5">D45*G45</f>
        <v>2.4000000000000004</v>
      </c>
      <c r="I45" s="621" t="s">
        <v>135</v>
      </c>
      <c r="J45" s="622"/>
      <c r="K45" s="622"/>
      <c r="L45" s="622"/>
      <c r="M45" s="622"/>
      <c r="N45" s="623"/>
      <c r="O45" s="355"/>
      <c r="P45" s="316"/>
      <c r="Q45" s="294" t="str">
        <f>VLOOKUP(B45,Tabla13[[Código Indra]:[Estado]],10,FALSE)</f>
        <v>Cerrada</v>
      </c>
      <c r="R45" s="117"/>
    </row>
    <row r="46" spans="1:18" s="4" customFormat="1" ht="126" customHeight="1" x14ac:dyDescent="0.25">
      <c r="A46" s="348">
        <v>38</v>
      </c>
      <c r="B46" s="293" t="s">
        <v>136</v>
      </c>
      <c r="C46" s="338" t="s">
        <v>137</v>
      </c>
      <c r="D46" s="294">
        <v>3</v>
      </c>
      <c r="E46" s="620">
        <v>1</v>
      </c>
      <c r="F46" s="620"/>
      <c r="G46" s="297">
        <v>1</v>
      </c>
      <c r="H46" s="298">
        <f t="shared" si="4"/>
        <v>3</v>
      </c>
      <c r="I46" s="642" t="s">
        <v>24</v>
      </c>
      <c r="J46" s="620"/>
      <c r="K46" s="620"/>
      <c r="L46" s="620"/>
      <c r="M46" s="620"/>
      <c r="N46" s="643"/>
      <c r="O46" s="354"/>
      <c r="P46" s="316"/>
      <c r="Q46" s="294" t="str">
        <f>VLOOKUP(B46,Tabla13[[Código Indra]:[Estado]],10,FALSE)</f>
        <v>Cerrada</v>
      </c>
      <c r="R46" s="117"/>
    </row>
    <row r="47" spans="1:18" s="4" customFormat="1" ht="126" customHeight="1" x14ac:dyDescent="0.25">
      <c r="A47" s="348">
        <v>39</v>
      </c>
      <c r="B47" s="293" t="s">
        <v>138</v>
      </c>
      <c r="C47" s="338" t="s">
        <v>139</v>
      </c>
      <c r="D47" s="294">
        <v>3</v>
      </c>
      <c r="E47" s="620">
        <v>1</v>
      </c>
      <c r="F47" s="620"/>
      <c r="G47" s="295">
        <v>0.8</v>
      </c>
      <c r="H47" s="296">
        <f t="shared" si="4"/>
        <v>2.4000000000000004</v>
      </c>
      <c r="I47" s="624" t="s">
        <v>140</v>
      </c>
      <c r="J47" s="622"/>
      <c r="K47" s="622"/>
      <c r="L47" s="622"/>
      <c r="M47" s="622"/>
      <c r="N47" s="623"/>
      <c r="O47" s="355"/>
      <c r="P47" s="316"/>
      <c r="Q47" s="294" t="str">
        <f>VLOOKUP(B47,Tabla13[[Código Indra]:[Estado]],10,FALSE)</f>
        <v>Cerrada</v>
      </c>
      <c r="R47" s="117"/>
    </row>
    <row r="48" spans="1:18" s="4" customFormat="1" ht="126" customHeight="1" x14ac:dyDescent="0.25">
      <c r="A48" s="348">
        <v>40</v>
      </c>
      <c r="B48" s="293" t="s">
        <v>141</v>
      </c>
      <c r="C48" s="338" t="s">
        <v>142</v>
      </c>
      <c r="D48" s="294">
        <v>3</v>
      </c>
      <c r="E48" s="620">
        <v>1</v>
      </c>
      <c r="F48" s="620"/>
      <c r="G48" s="295">
        <v>0</v>
      </c>
      <c r="H48" s="296">
        <f t="shared" si="4"/>
        <v>0</v>
      </c>
      <c r="I48" s="621" t="s">
        <v>143</v>
      </c>
      <c r="J48" s="622"/>
      <c r="K48" s="622"/>
      <c r="L48" s="622"/>
      <c r="M48" s="622"/>
      <c r="N48" s="623"/>
      <c r="O48" s="355"/>
      <c r="P48" s="316"/>
      <c r="Q48" s="294" t="str">
        <f>VLOOKUP(B48,Tabla13[[Código Indra]:[Estado]],10,FALSE)</f>
        <v>Cerrada</v>
      </c>
      <c r="R48" s="117"/>
    </row>
    <row r="49" spans="1:18" s="4" customFormat="1" ht="126" customHeight="1" x14ac:dyDescent="0.25">
      <c r="A49" s="348">
        <v>41</v>
      </c>
      <c r="B49" s="293" t="s">
        <v>144</v>
      </c>
      <c r="C49" s="338" t="s">
        <v>145</v>
      </c>
      <c r="D49" s="294">
        <v>8</v>
      </c>
      <c r="E49" s="620">
        <v>1</v>
      </c>
      <c r="F49" s="620"/>
      <c r="G49" s="297">
        <v>1</v>
      </c>
      <c r="H49" s="296">
        <f t="shared" si="4"/>
        <v>8</v>
      </c>
      <c r="I49" s="624" t="s">
        <v>146</v>
      </c>
      <c r="J49" s="622"/>
      <c r="K49" s="622"/>
      <c r="L49" s="622"/>
      <c r="M49" s="622"/>
      <c r="N49" s="623"/>
      <c r="O49" s="355"/>
      <c r="P49" s="316"/>
      <c r="Q49" s="294" t="str">
        <f>VLOOKUP(B49,Tabla13[[Código Indra]:[Estado]],10,FALSE)</f>
        <v>Cerrada</v>
      </c>
      <c r="R49" s="117"/>
    </row>
    <row r="50" spans="1:18" s="4" customFormat="1" ht="126" customHeight="1" x14ac:dyDescent="0.25">
      <c r="A50" s="348">
        <v>42</v>
      </c>
      <c r="B50" s="293" t="s">
        <v>147</v>
      </c>
      <c r="C50" s="338" t="s">
        <v>148</v>
      </c>
      <c r="D50" s="294">
        <v>8</v>
      </c>
      <c r="E50" s="620">
        <v>1</v>
      </c>
      <c r="F50" s="620"/>
      <c r="G50" s="297">
        <v>1</v>
      </c>
      <c r="H50" s="298">
        <f t="shared" si="4"/>
        <v>8</v>
      </c>
      <c r="I50" s="642" t="s">
        <v>24</v>
      </c>
      <c r="J50" s="620"/>
      <c r="K50" s="620"/>
      <c r="L50" s="620"/>
      <c r="M50" s="620"/>
      <c r="N50" s="643"/>
      <c r="O50" s="354"/>
      <c r="P50" s="316"/>
      <c r="Q50" s="294" t="str">
        <f>VLOOKUP(B50,Tabla13[[Código Indra]:[Estado]],10,FALSE)</f>
        <v>Cerrada</v>
      </c>
      <c r="R50" s="117"/>
    </row>
    <row r="51" spans="1:18" s="4" customFormat="1" ht="126" customHeight="1" x14ac:dyDescent="0.25">
      <c r="A51" s="348">
        <v>43</v>
      </c>
      <c r="B51" s="349" t="s">
        <v>149</v>
      </c>
      <c r="C51" s="338" t="s">
        <v>150</v>
      </c>
      <c r="D51" s="294">
        <v>16</v>
      </c>
      <c r="E51" s="620">
        <v>2</v>
      </c>
      <c r="F51" s="620"/>
      <c r="G51" s="295">
        <v>0.6</v>
      </c>
      <c r="H51" s="296">
        <f>D51*G51</f>
        <v>9.6</v>
      </c>
      <c r="I51" s="621" t="s">
        <v>151</v>
      </c>
      <c r="J51" s="622"/>
      <c r="K51" s="622"/>
      <c r="L51" s="622"/>
      <c r="M51" s="622"/>
      <c r="N51" s="623"/>
      <c r="O51" s="355"/>
      <c r="P51" s="316"/>
      <c r="Q51" s="294" t="e">
        <f>VLOOKUP(B51,Tabla13[[Código Indra]:[Estado]],10,FALSE)</f>
        <v>#N/A</v>
      </c>
      <c r="R51" s="117"/>
    </row>
    <row r="52" spans="1:18" s="4" customFormat="1" ht="126" customHeight="1" x14ac:dyDescent="0.25">
      <c r="A52" s="348">
        <v>44</v>
      </c>
      <c r="B52" s="293" t="s">
        <v>152</v>
      </c>
      <c r="C52" s="338" t="s">
        <v>153</v>
      </c>
      <c r="D52" s="299"/>
      <c r="E52" s="620"/>
      <c r="F52" s="620"/>
      <c r="G52" s="300">
        <v>0.99</v>
      </c>
      <c r="H52" s="296">
        <f t="shared" ref="H52" si="6">D52*G52</f>
        <v>0</v>
      </c>
      <c r="I52" s="642" t="s">
        <v>154</v>
      </c>
      <c r="J52" s="620"/>
      <c r="K52" s="620"/>
      <c r="L52" s="620"/>
      <c r="M52" s="620"/>
      <c r="N52" s="643"/>
      <c r="O52" s="354"/>
      <c r="P52" s="316"/>
      <c r="Q52" s="294" t="str">
        <f>VLOOKUP(B52,Tabla13[[Código Indra]:[Estado]],10,FALSE)</f>
        <v>Calidad NO OK</v>
      </c>
      <c r="R52" s="117"/>
    </row>
    <row r="53" spans="1:18" s="4" customFormat="1" ht="126" customHeight="1" x14ac:dyDescent="0.25">
      <c r="A53" s="348">
        <v>45</v>
      </c>
      <c r="B53" s="349" t="s">
        <v>155</v>
      </c>
      <c r="C53" s="338" t="s">
        <v>156</v>
      </c>
      <c r="D53" s="294">
        <v>120</v>
      </c>
      <c r="E53" s="620">
        <v>1</v>
      </c>
      <c r="F53" s="620"/>
      <c r="G53" s="295">
        <v>0.9</v>
      </c>
      <c r="H53" s="296">
        <f>D53*G53</f>
        <v>108</v>
      </c>
      <c r="I53" s="621" t="s">
        <v>157</v>
      </c>
      <c r="J53" s="622"/>
      <c r="K53" s="622"/>
      <c r="L53" s="622"/>
      <c r="M53" s="622"/>
      <c r="N53" s="623"/>
      <c r="O53" s="355"/>
      <c r="P53" s="316"/>
      <c r="Q53" s="294" t="str">
        <f>VLOOKUP(B53,Tabla13[[Código Indra]:[Estado]],10,FALSE)</f>
        <v>Calidad NO OK</v>
      </c>
      <c r="R53" s="117"/>
    </row>
    <row r="54" spans="1:18" s="4" customFormat="1" ht="126" customHeight="1" x14ac:dyDescent="0.25">
      <c r="A54" s="348">
        <v>46</v>
      </c>
      <c r="B54" s="349" t="s">
        <v>158</v>
      </c>
      <c r="C54" s="338" t="s">
        <v>159</v>
      </c>
      <c r="D54" s="294"/>
      <c r="E54" s="620"/>
      <c r="F54" s="620"/>
      <c r="G54" s="300">
        <v>0.9</v>
      </c>
      <c r="H54" s="296">
        <f>D54*G54</f>
        <v>0</v>
      </c>
      <c r="I54" s="621" t="s">
        <v>24</v>
      </c>
      <c r="J54" s="622"/>
      <c r="K54" s="622"/>
      <c r="L54" s="622"/>
      <c r="M54" s="622"/>
      <c r="N54" s="623"/>
      <c r="O54" s="355"/>
      <c r="P54" s="316"/>
      <c r="Q54" s="294" t="str">
        <f>VLOOKUP(B54,Tabla13[[Código Indra]:[Estado]],10,FALSE)</f>
        <v>Cerrada</v>
      </c>
      <c r="R54" s="117"/>
    </row>
    <row r="55" spans="1:18" s="4" customFormat="1" ht="126" customHeight="1" x14ac:dyDescent="0.25">
      <c r="A55" s="348">
        <v>47</v>
      </c>
      <c r="B55" s="293" t="s">
        <v>160</v>
      </c>
      <c r="C55" s="338" t="s">
        <v>161</v>
      </c>
      <c r="D55" s="294"/>
      <c r="E55" s="620"/>
      <c r="F55" s="620"/>
      <c r="G55" s="297">
        <v>1</v>
      </c>
      <c r="H55" s="298">
        <f>D55*G55</f>
        <v>0</v>
      </c>
      <c r="I55" s="621" t="s">
        <v>162</v>
      </c>
      <c r="J55" s="622"/>
      <c r="K55" s="622"/>
      <c r="L55" s="622"/>
      <c r="M55" s="622"/>
      <c r="N55" s="623"/>
      <c r="O55" s="355"/>
      <c r="P55" s="316"/>
      <c r="Q55" s="294" t="str">
        <f>VLOOKUP(B55,Tabla13[[Código Indra]:[Estado]],10,FALSE)</f>
        <v>Cerrada</v>
      </c>
      <c r="R55" s="117"/>
    </row>
    <row r="56" spans="1:18" s="4" customFormat="1" ht="126" customHeight="1" x14ac:dyDescent="0.25">
      <c r="A56" s="348">
        <v>48</v>
      </c>
      <c r="B56" s="349" t="s">
        <v>163</v>
      </c>
      <c r="C56" s="338" t="s">
        <v>164</v>
      </c>
      <c r="D56" s="294"/>
      <c r="E56" s="620"/>
      <c r="F56" s="620"/>
      <c r="G56" s="300">
        <v>0.9</v>
      </c>
      <c r="H56" s="296">
        <f>D56*G56</f>
        <v>0</v>
      </c>
      <c r="I56" s="621" t="s">
        <v>165</v>
      </c>
      <c r="J56" s="622"/>
      <c r="K56" s="622"/>
      <c r="L56" s="622"/>
      <c r="M56" s="622"/>
      <c r="N56" s="623"/>
      <c r="O56" s="355"/>
      <c r="P56" s="316"/>
      <c r="Q56" s="294" t="str">
        <f>VLOOKUP(B56,Tabla13[[Código Indra]:[Estado]],10,FALSE)</f>
        <v>Cerrada</v>
      </c>
      <c r="R56" s="117"/>
    </row>
    <row r="57" spans="1:18" s="4" customFormat="1" ht="126" customHeight="1" x14ac:dyDescent="0.25">
      <c r="A57" s="348">
        <v>49</v>
      </c>
      <c r="B57" s="293" t="s">
        <v>166</v>
      </c>
      <c r="C57" s="338" t="s">
        <v>167</v>
      </c>
      <c r="D57" s="294">
        <v>12</v>
      </c>
      <c r="E57" s="620">
        <v>2</v>
      </c>
      <c r="F57" s="620"/>
      <c r="G57" s="295">
        <v>0.6</v>
      </c>
      <c r="H57" s="296">
        <f>D57*G57</f>
        <v>7.1999999999999993</v>
      </c>
      <c r="I57" s="642" t="s">
        <v>168</v>
      </c>
      <c r="J57" s="620"/>
      <c r="K57" s="620"/>
      <c r="L57" s="620"/>
      <c r="M57" s="620"/>
      <c r="N57" s="643"/>
      <c r="O57" s="354"/>
      <c r="P57" s="316"/>
      <c r="Q57" s="294" t="e">
        <f>VLOOKUP(B57,Tabla13[[Código Indra]:[Estado]],10,FALSE)</f>
        <v>#N/A</v>
      </c>
      <c r="R57" s="117"/>
    </row>
    <row r="58" spans="1:18" s="4" customFormat="1" ht="126" customHeight="1" x14ac:dyDescent="0.25">
      <c r="A58" s="348">
        <v>50</v>
      </c>
      <c r="B58" s="293" t="s">
        <v>169</v>
      </c>
      <c r="C58" s="338" t="s">
        <v>170</v>
      </c>
      <c r="D58" s="294"/>
      <c r="E58" s="620"/>
      <c r="F58" s="620"/>
      <c r="G58" s="295">
        <v>0</v>
      </c>
      <c r="H58" s="296"/>
      <c r="I58" s="642" t="s">
        <v>171</v>
      </c>
      <c r="J58" s="620"/>
      <c r="K58" s="620"/>
      <c r="L58" s="620"/>
      <c r="M58" s="620"/>
      <c r="N58" s="643"/>
      <c r="O58" s="354"/>
      <c r="P58" s="316"/>
      <c r="Q58" s="294" t="str">
        <f>VLOOKUP(B58,Tabla13[[Código Indra]:[Estado]],10,FALSE)</f>
        <v>Calidad NO OK</v>
      </c>
      <c r="R58" s="117"/>
    </row>
    <row r="59" spans="1:18" s="4" customFormat="1" ht="126" customHeight="1" x14ac:dyDescent="0.25">
      <c r="A59" s="348">
        <v>51</v>
      </c>
      <c r="B59" s="293" t="s">
        <v>172</v>
      </c>
      <c r="C59" s="338" t="s">
        <v>173</v>
      </c>
      <c r="D59" s="294"/>
      <c r="E59" s="620"/>
      <c r="F59" s="620"/>
      <c r="G59" s="295">
        <v>0</v>
      </c>
      <c r="H59" s="296">
        <f>D59*G59</f>
        <v>0</v>
      </c>
      <c r="I59" s="642" t="s">
        <v>174</v>
      </c>
      <c r="J59" s="620"/>
      <c r="K59" s="620"/>
      <c r="L59" s="620"/>
      <c r="M59" s="620"/>
      <c r="N59" s="643"/>
      <c r="O59" s="354"/>
      <c r="P59" s="316"/>
      <c r="Q59" s="294" t="str">
        <f>VLOOKUP(B59,Tabla13[[Código Indra]:[Estado]],10,FALSE)</f>
        <v>Calidad NO OK</v>
      </c>
      <c r="R59" s="117"/>
    </row>
    <row r="60" spans="1:18" s="4" customFormat="1" ht="126" customHeight="1" x14ac:dyDescent="0.25">
      <c r="A60" s="348">
        <v>52</v>
      </c>
      <c r="B60" s="293" t="s">
        <v>175</v>
      </c>
      <c r="C60" s="338" t="s">
        <v>176</v>
      </c>
      <c r="D60" s="294"/>
      <c r="E60" s="620"/>
      <c r="F60" s="620"/>
      <c r="G60" s="295"/>
      <c r="H60" s="296"/>
      <c r="I60" s="642" t="s">
        <v>177</v>
      </c>
      <c r="J60" s="620"/>
      <c r="K60" s="620"/>
      <c r="L60" s="620"/>
      <c r="M60" s="620"/>
      <c r="N60" s="643"/>
      <c r="O60" s="354"/>
      <c r="P60" s="316"/>
      <c r="R60" s="117"/>
    </row>
    <row r="61" spans="1:18" s="4" customFormat="1" ht="126" customHeight="1" x14ac:dyDescent="0.25">
      <c r="A61" s="348">
        <v>53</v>
      </c>
      <c r="B61" s="293" t="s">
        <v>178</v>
      </c>
      <c r="C61" s="338" t="s">
        <v>179</v>
      </c>
      <c r="D61" s="294"/>
      <c r="E61" s="620"/>
      <c r="F61" s="620"/>
      <c r="G61" s="295">
        <v>0.7</v>
      </c>
      <c r="H61" s="296">
        <f>D61*G61</f>
        <v>0</v>
      </c>
      <c r="I61" s="642" t="s">
        <v>180</v>
      </c>
      <c r="J61" s="620"/>
      <c r="K61" s="620"/>
      <c r="L61" s="620"/>
      <c r="M61" s="620"/>
      <c r="N61" s="643"/>
      <c r="O61" s="354"/>
      <c r="P61" s="316"/>
      <c r="Q61" s="294" t="str">
        <f>VLOOKUP(B61,Tabla13[[Código Indra]:[Estado]],10,FALSE)</f>
        <v>Cerrada</v>
      </c>
      <c r="R61" s="117"/>
    </row>
    <row r="62" spans="1:18" s="4" customFormat="1" ht="126" customHeight="1" x14ac:dyDescent="0.25">
      <c r="A62" s="348">
        <v>54</v>
      </c>
      <c r="B62" s="293" t="s">
        <v>181</v>
      </c>
      <c r="C62" s="338" t="s">
        <v>182</v>
      </c>
      <c r="D62" s="294">
        <v>6</v>
      </c>
      <c r="E62" s="620">
        <v>1</v>
      </c>
      <c r="F62" s="620"/>
      <c r="G62" s="295">
        <v>0.5</v>
      </c>
      <c r="H62" s="296">
        <f>D62*G62</f>
        <v>3</v>
      </c>
      <c r="I62" s="642" t="s">
        <v>183</v>
      </c>
      <c r="J62" s="620"/>
      <c r="K62" s="620"/>
      <c r="L62" s="620"/>
      <c r="M62" s="620"/>
      <c r="N62" s="643"/>
      <c r="O62" s="354"/>
      <c r="P62" s="316"/>
      <c r="Q62" s="294" t="str">
        <f>VLOOKUP(B62,Tabla13[[Código Indra]:[Estado]],10,FALSE)</f>
        <v>Calidad NO OK</v>
      </c>
      <c r="R62" s="117"/>
    </row>
    <row r="63" spans="1:18" s="4" customFormat="1" ht="126" customHeight="1" x14ac:dyDescent="0.25">
      <c r="A63" s="348">
        <v>55</v>
      </c>
      <c r="B63" s="293" t="s">
        <v>184</v>
      </c>
      <c r="C63" s="338" t="s">
        <v>185</v>
      </c>
      <c r="D63" s="294">
        <v>1</v>
      </c>
      <c r="E63" s="620">
        <v>1</v>
      </c>
      <c r="F63" s="620"/>
      <c r="G63" s="295">
        <v>0</v>
      </c>
      <c r="H63" s="296">
        <f>D63*G63</f>
        <v>0</v>
      </c>
      <c r="I63" s="642" t="s">
        <v>24</v>
      </c>
      <c r="J63" s="620"/>
      <c r="K63" s="620"/>
      <c r="L63" s="620"/>
      <c r="M63" s="620"/>
      <c r="N63" s="643"/>
      <c r="O63" s="354"/>
      <c r="P63" s="316"/>
      <c r="Q63" s="294" t="str">
        <f>VLOOKUP(B63,Tabla13[[Código Indra]:[Estado]],10,FALSE)</f>
        <v>Cerrada</v>
      </c>
      <c r="R63" s="117"/>
    </row>
    <row r="64" spans="1:18" s="4" customFormat="1" ht="126" customHeight="1" x14ac:dyDescent="0.25">
      <c r="A64" s="348">
        <v>56</v>
      </c>
      <c r="B64" s="293" t="s">
        <v>186</v>
      </c>
      <c r="C64" s="338" t="s">
        <v>187</v>
      </c>
      <c r="D64" s="294"/>
      <c r="E64" s="620"/>
      <c r="F64" s="620"/>
      <c r="G64" s="295">
        <v>0</v>
      </c>
      <c r="H64" s="296"/>
      <c r="I64" s="642" t="s">
        <v>188</v>
      </c>
      <c r="J64" s="620"/>
      <c r="K64" s="620"/>
      <c r="L64" s="620"/>
      <c r="M64" s="620"/>
      <c r="N64" s="643"/>
      <c r="O64" s="354"/>
      <c r="P64" s="316"/>
      <c r="Q64" s="294" t="str">
        <f>VLOOKUP(B64,Tabla13[[Código Indra]:[Estado]],10,FALSE)</f>
        <v>Calidad NO OK</v>
      </c>
      <c r="R64" s="117"/>
    </row>
    <row r="65" spans="1:18" s="4" customFormat="1" ht="126" customHeight="1" x14ac:dyDescent="0.25">
      <c r="A65" s="348">
        <v>57</v>
      </c>
      <c r="B65" s="293" t="s">
        <v>189</v>
      </c>
      <c r="C65" s="338" t="s">
        <v>190</v>
      </c>
      <c r="D65" s="294">
        <v>8</v>
      </c>
      <c r="E65" s="620">
        <v>1</v>
      </c>
      <c r="F65" s="620"/>
      <c r="G65" s="295">
        <v>0.4</v>
      </c>
      <c r="H65" s="296">
        <f>D65*G65</f>
        <v>3.2</v>
      </c>
      <c r="I65" s="642" t="s">
        <v>191</v>
      </c>
      <c r="J65" s="620"/>
      <c r="K65" s="620"/>
      <c r="L65" s="620"/>
      <c r="M65" s="620"/>
      <c r="N65" s="643"/>
      <c r="O65" s="354"/>
      <c r="P65" s="316"/>
      <c r="Q65" s="294" t="str">
        <f>VLOOKUP(B65,Tabla13[[Código Indra]:[Estado]],10,FALSE)</f>
        <v>Calidad NO OK</v>
      </c>
      <c r="R65" s="117"/>
    </row>
    <row r="66" spans="1:18" s="4" customFormat="1" ht="126" customHeight="1" x14ac:dyDescent="0.25">
      <c r="A66" s="348">
        <v>58</v>
      </c>
      <c r="B66" s="293" t="s">
        <v>192</v>
      </c>
      <c r="C66" s="341" t="s">
        <v>193</v>
      </c>
      <c r="D66" s="342"/>
      <c r="E66" s="649"/>
      <c r="F66" s="649"/>
      <c r="G66" s="343">
        <v>0</v>
      </c>
      <c r="H66" s="344"/>
      <c r="I66" s="648"/>
      <c r="J66" s="649"/>
      <c r="K66" s="649"/>
      <c r="L66" s="649"/>
      <c r="M66" s="649"/>
      <c r="N66" s="650"/>
      <c r="O66" s="353"/>
      <c r="P66" s="345"/>
      <c r="Q66" s="294" t="str">
        <f>VLOOKUP(B66,Tabla13[[Código Indra]:[Estado]],10,FALSE)</f>
        <v>Cerrada</v>
      </c>
      <c r="R66" s="117"/>
    </row>
    <row r="67" spans="1:18" s="4" customFormat="1" ht="126" customHeight="1" x14ac:dyDescent="0.25">
      <c r="A67" s="348">
        <v>59</v>
      </c>
      <c r="B67" s="349" t="s">
        <v>194</v>
      </c>
      <c r="C67" s="341" t="s">
        <v>195</v>
      </c>
      <c r="D67" s="342">
        <v>4</v>
      </c>
      <c r="E67" s="649">
        <v>1</v>
      </c>
      <c r="F67" s="649"/>
      <c r="G67" s="343">
        <v>0.99</v>
      </c>
      <c r="H67" s="344">
        <f t="shared" si="4"/>
        <v>3.96</v>
      </c>
      <c r="I67" s="648" t="s">
        <v>196</v>
      </c>
      <c r="J67" s="649"/>
      <c r="K67" s="649"/>
      <c r="L67" s="649"/>
      <c r="M67" s="649"/>
      <c r="N67" s="650"/>
      <c r="O67" s="353"/>
      <c r="P67" s="345"/>
      <c r="Q67" s="294" t="e">
        <f>VLOOKUP(B67,Tabla13[[Código Indra]:[Estado]],10,FALSE)</f>
        <v>#N/A</v>
      </c>
      <c r="R67" s="117"/>
    </row>
    <row r="68" spans="1:18" s="4" customFormat="1" ht="126" customHeight="1" x14ac:dyDescent="0.25">
      <c r="A68" s="348">
        <v>60</v>
      </c>
      <c r="B68" s="293" t="s">
        <v>197</v>
      </c>
      <c r="C68" s="341" t="s">
        <v>198</v>
      </c>
      <c r="D68" s="346"/>
      <c r="E68" s="649"/>
      <c r="F68" s="649"/>
      <c r="G68" s="347">
        <v>0</v>
      </c>
      <c r="H68" s="344">
        <f t="shared" si="4"/>
        <v>0</v>
      </c>
      <c r="I68" s="648"/>
      <c r="J68" s="649"/>
      <c r="K68" s="649"/>
      <c r="L68" s="649"/>
      <c r="M68" s="649"/>
      <c r="N68" s="650"/>
      <c r="O68" s="353"/>
      <c r="P68" s="345"/>
      <c r="Q68" s="294" t="str">
        <f>VLOOKUP(B68,Tabla13[[Código Indra]:[Estado]],10,FALSE)</f>
        <v>Calidad NO OK</v>
      </c>
      <c r="R68" s="117"/>
    </row>
    <row r="69" spans="1:18" s="4" customFormat="1" ht="126" customHeight="1" x14ac:dyDescent="0.25">
      <c r="A69" s="348">
        <v>61</v>
      </c>
      <c r="B69" s="293" t="s">
        <v>199</v>
      </c>
      <c r="C69" s="341" t="s">
        <v>200</v>
      </c>
      <c r="D69" s="346"/>
      <c r="E69" s="649"/>
      <c r="F69" s="649"/>
      <c r="G69" s="347">
        <v>0</v>
      </c>
      <c r="H69" s="344">
        <f t="shared" si="4"/>
        <v>0</v>
      </c>
      <c r="I69" s="648"/>
      <c r="J69" s="649"/>
      <c r="K69" s="649"/>
      <c r="L69" s="649"/>
      <c r="M69" s="649"/>
      <c r="N69" s="650"/>
      <c r="O69" s="353"/>
      <c r="P69" s="345"/>
      <c r="Q69" s="294" t="str">
        <f>VLOOKUP(B69,Tabla13[[Código Indra]:[Estado]],10,FALSE)</f>
        <v>Cerrada</v>
      </c>
      <c r="R69" s="117"/>
    </row>
    <row r="70" spans="1:18" s="4" customFormat="1" ht="126" customHeight="1" x14ac:dyDescent="0.25">
      <c r="A70" s="348">
        <v>62</v>
      </c>
      <c r="B70" s="293" t="s">
        <v>201</v>
      </c>
      <c r="C70" s="341" t="s">
        <v>202</v>
      </c>
      <c r="D70" s="346"/>
      <c r="E70" s="649"/>
      <c r="F70" s="649"/>
      <c r="G70" s="347">
        <v>0</v>
      </c>
      <c r="H70" s="344">
        <f t="shared" si="4"/>
        <v>0</v>
      </c>
      <c r="I70" s="648"/>
      <c r="J70" s="649"/>
      <c r="K70" s="649"/>
      <c r="L70" s="649"/>
      <c r="M70" s="649"/>
      <c r="N70" s="650"/>
      <c r="O70" s="353"/>
      <c r="P70" s="345"/>
      <c r="Q70" s="294" t="str">
        <f>VLOOKUP(B70,Tabla13[[Código Indra]:[Estado]],10,FALSE)</f>
        <v>Cerrada</v>
      </c>
      <c r="R70" s="117"/>
    </row>
    <row r="71" spans="1:18" s="4" customFormat="1" ht="126" customHeight="1" x14ac:dyDescent="0.25">
      <c r="A71" s="348">
        <v>63</v>
      </c>
      <c r="B71" s="293" t="s">
        <v>203</v>
      </c>
      <c r="C71" s="341" t="s">
        <v>204</v>
      </c>
      <c r="D71" s="346"/>
      <c r="E71" s="649"/>
      <c r="F71" s="649"/>
      <c r="G71" s="347">
        <v>0</v>
      </c>
      <c r="H71" s="344">
        <f t="shared" si="4"/>
        <v>0</v>
      </c>
      <c r="I71" s="648"/>
      <c r="J71" s="649"/>
      <c r="K71" s="649"/>
      <c r="L71" s="649"/>
      <c r="M71" s="649"/>
      <c r="N71" s="650"/>
      <c r="O71" s="353"/>
      <c r="P71" s="345"/>
      <c r="Q71" s="294" t="str">
        <f>VLOOKUP(B71,Tabla13[[Código Indra]:[Estado]],10,FALSE)</f>
        <v>Cerrada</v>
      </c>
      <c r="R71" s="117"/>
    </row>
    <row r="72" spans="1:18" s="4" customFormat="1" ht="126" customHeight="1" x14ac:dyDescent="0.25">
      <c r="A72" s="348">
        <v>64</v>
      </c>
      <c r="B72" s="293" t="s">
        <v>205</v>
      </c>
      <c r="C72" s="341" t="s">
        <v>206</v>
      </c>
      <c r="D72" s="346"/>
      <c r="E72" s="649"/>
      <c r="F72" s="649"/>
      <c r="G72" s="347">
        <v>0</v>
      </c>
      <c r="H72" s="344">
        <f t="shared" si="4"/>
        <v>0</v>
      </c>
      <c r="I72" s="648"/>
      <c r="J72" s="649"/>
      <c r="K72" s="649"/>
      <c r="L72" s="649"/>
      <c r="M72" s="649"/>
      <c r="N72" s="650"/>
      <c r="O72" s="353"/>
      <c r="P72" s="345"/>
      <c r="Q72" s="294" t="str">
        <f>VLOOKUP(B72,Tabla13[[Código Indra]:[Estado]],10,FALSE)</f>
        <v>Cerrada</v>
      </c>
      <c r="R72" s="117"/>
    </row>
    <row r="73" spans="1:18" s="4" customFormat="1" ht="126" customHeight="1" x14ac:dyDescent="0.25">
      <c r="A73" s="348">
        <v>65</v>
      </c>
      <c r="B73" s="293" t="s">
        <v>207</v>
      </c>
      <c r="C73" s="341" t="s">
        <v>208</v>
      </c>
      <c r="D73" s="346"/>
      <c r="E73" s="649"/>
      <c r="F73" s="649"/>
      <c r="G73" s="347">
        <v>0</v>
      </c>
      <c r="H73" s="344">
        <f t="shared" si="4"/>
        <v>0</v>
      </c>
      <c r="I73" s="648"/>
      <c r="J73" s="649"/>
      <c r="K73" s="649"/>
      <c r="L73" s="649"/>
      <c r="M73" s="649"/>
      <c r="N73" s="650"/>
      <c r="O73" s="353"/>
      <c r="P73" s="345"/>
      <c r="Q73" s="294" t="str">
        <f>VLOOKUP(B73,Tabla13[[Código Indra]:[Estado]],10,FALSE)</f>
        <v>Calidad NO OK</v>
      </c>
      <c r="R73" s="117"/>
    </row>
    <row r="74" spans="1:18" s="4" customFormat="1" ht="126" customHeight="1" thickBot="1" x14ac:dyDescent="0.3">
      <c r="A74" s="348">
        <v>66</v>
      </c>
      <c r="B74" s="349" t="s">
        <v>209</v>
      </c>
      <c r="C74" s="341" t="s">
        <v>210</v>
      </c>
      <c r="D74" s="346"/>
      <c r="E74" s="649"/>
      <c r="F74" s="649"/>
      <c r="G74" s="347">
        <v>0</v>
      </c>
      <c r="H74" s="344">
        <f t="shared" si="4"/>
        <v>0</v>
      </c>
      <c r="I74" s="648"/>
      <c r="J74" s="649"/>
      <c r="K74" s="649"/>
      <c r="L74" s="649"/>
      <c r="M74" s="649"/>
      <c r="N74" s="650"/>
      <c r="O74" s="353"/>
      <c r="P74" s="345"/>
      <c r="Q74" s="294" t="e">
        <f>VLOOKUP(B74,Tabla13[[Código Indra]:[Estado]],10,FALSE)</f>
        <v>#N/A</v>
      </c>
      <c r="R74" s="117"/>
    </row>
    <row r="75" spans="1:18" s="4" customFormat="1" ht="126" customHeight="1" thickBot="1" x14ac:dyDescent="0.3">
      <c r="A75" s="293"/>
      <c r="B75" s="294"/>
      <c r="C75" s="301" t="s">
        <v>211</v>
      </c>
      <c r="D75" s="302">
        <f>SUM(D18:D74)</f>
        <v>480</v>
      </c>
      <c r="E75" s="653">
        <f>H75/D75</f>
        <v>0.82366666666666655</v>
      </c>
      <c r="F75" s="654"/>
      <c r="G75" s="655"/>
      <c r="H75" s="303">
        <f>SUM(H18:H74)</f>
        <v>395.35999999999996</v>
      </c>
      <c r="I75" s="642"/>
      <c r="J75" s="620"/>
      <c r="K75" s="620"/>
      <c r="L75" s="620"/>
      <c r="M75" s="620"/>
      <c r="N75" s="643"/>
      <c r="O75" s="360"/>
      <c r="R75" s="117"/>
    </row>
    <row r="76" spans="1:18" ht="16.5" thickBot="1" x14ac:dyDescent="0.3">
      <c r="A76" s="304"/>
      <c r="B76" s="350"/>
      <c r="C76" s="305"/>
      <c r="D76" s="305"/>
      <c r="E76" s="305"/>
      <c r="F76" s="305"/>
      <c r="G76" s="306"/>
      <c r="H76" s="306"/>
      <c r="I76" s="305"/>
      <c r="J76" s="305"/>
      <c r="K76" s="305"/>
      <c r="L76" s="305"/>
      <c r="M76" s="305"/>
      <c r="N76" s="307"/>
      <c r="O76" s="361"/>
    </row>
  </sheetData>
  <autoFilter ref="A8:Q75" xr:uid="{5E7611D3-C3C0-4433-93EC-512324A636AE}">
    <filterColumn colId="4" showButton="0"/>
    <filterColumn colId="8" showButton="0"/>
    <filterColumn colId="9" showButton="0"/>
    <filterColumn colId="10" showButton="0"/>
    <filterColumn colId="11" showButton="0"/>
    <filterColumn colId="12" showButton="0"/>
  </autoFilter>
  <mergeCells count="146">
    <mergeCell ref="E74:F74"/>
    <mergeCell ref="E54:F54"/>
    <mergeCell ref="E75:G75"/>
    <mergeCell ref="I75:N75"/>
    <mergeCell ref="I70:N70"/>
    <mergeCell ref="E61:F61"/>
    <mergeCell ref="I61:N61"/>
    <mergeCell ref="E59:F59"/>
    <mergeCell ref="I59:N59"/>
    <mergeCell ref="E57:F57"/>
    <mergeCell ref="I57:N57"/>
    <mergeCell ref="E67:F67"/>
    <mergeCell ref="I67:N67"/>
    <mergeCell ref="I74:N74"/>
    <mergeCell ref="E71:F71"/>
    <mergeCell ref="I71:N71"/>
    <mergeCell ref="E72:F72"/>
    <mergeCell ref="I72:N72"/>
    <mergeCell ref="I73:N73"/>
    <mergeCell ref="I68:N68"/>
    <mergeCell ref="I60:N60"/>
    <mergeCell ref="E60:F60"/>
    <mergeCell ref="I69:N69"/>
    <mergeCell ref="E73:F73"/>
    <mergeCell ref="E68:F68"/>
    <mergeCell ref="E51:F51"/>
    <mergeCell ref="E69:F69"/>
    <mergeCell ref="E40:F40"/>
    <mergeCell ref="E70:F70"/>
    <mergeCell ref="I65:N65"/>
    <mergeCell ref="E65:F65"/>
    <mergeCell ref="E63:F63"/>
    <mergeCell ref="I63:N63"/>
    <mergeCell ref="E66:F66"/>
    <mergeCell ref="E56:F56"/>
    <mergeCell ref="E62:F62"/>
    <mergeCell ref="E55:F55"/>
    <mergeCell ref="I48:N48"/>
    <mergeCell ref="E45:F45"/>
    <mergeCell ref="E49:F49"/>
    <mergeCell ref="I62:N62"/>
    <mergeCell ref="I47:N47"/>
    <mergeCell ref="I55:N55"/>
    <mergeCell ref="E28:F28"/>
    <mergeCell ref="E48:F48"/>
    <mergeCell ref="I28:N28"/>
    <mergeCell ref="E29:F29"/>
    <mergeCell ref="I29:N29"/>
    <mergeCell ref="E38:F38"/>
    <mergeCell ref="I38:N38"/>
    <mergeCell ref="E39:F39"/>
    <mergeCell ref="I39:N39"/>
    <mergeCell ref="E30:F30"/>
    <mergeCell ref="I30:N30"/>
    <mergeCell ref="E32:F32"/>
    <mergeCell ref="I32:N32"/>
    <mergeCell ref="E36:F36"/>
    <mergeCell ref="I36:N36"/>
    <mergeCell ref="E37:F37"/>
    <mergeCell ref="I37:N37"/>
    <mergeCell ref="E31:F31"/>
    <mergeCell ref="I31:N31"/>
    <mergeCell ref="E42:F42"/>
    <mergeCell ref="I42:N42"/>
    <mergeCell ref="I34:N34"/>
    <mergeCell ref="I33:N33"/>
    <mergeCell ref="I43:N43"/>
    <mergeCell ref="E35:F35"/>
    <mergeCell ref="I35:N35"/>
    <mergeCell ref="I66:N66"/>
    <mergeCell ref="I49:N49"/>
    <mergeCell ref="E50:F50"/>
    <mergeCell ref="I50:N50"/>
    <mergeCell ref="I44:N44"/>
    <mergeCell ref="E46:F46"/>
    <mergeCell ref="I46:N46"/>
    <mergeCell ref="E47:F47"/>
    <mergeCell ref="E58:F58"/>
    <mergeCell ref="E64:F64"/>
    <mergeCell ref="I58:N58"/>
    <mergeCell ref="I64:N64"/>
    <mergeCell ref="E52:F52"/>
    <mergeCell ref="I52:N52"/>
    <mergeCell ref="I45:N45"/>
    <mergeCell ref="I56:N56"/>
    <mergeCell ref="I54:N54"/>
    <mergeCell ref="E53:F53"/>
    <mergeCell ref="I53:N53"/>
    <mergeCell ref="F7:G7"/>
    <mergeCell ref="E44:F44"/>
    <mergeCell ref="E8:F8"/>
    <mergeCell ref="I51:N51"/>
    <mergeCell ref="I15:N15"/>
    <mergeCell ref="I40:N40"/>
    <mergeCell ref="E41:F41"/>
    <mergeCell ref="I41:N41"/>
    <mergeCell ref="I7:N7"/>
    <mergeCell ref="I8:N8"/>
    <mergeCell ref="E19:F19"/>
    <mergeCell ref="E33:F33"/>
    <mergeCell ref="E20:F20"/>
    <mergeCell ref="I19:N19"/>
    <mergeCell ref="I20:N20"/>
    <mergeCell ref="E17:F17"/>
    <mergeCell ref="E11:F11"/>
    <mergeCell ref="I11:N11"/>
    <mergeCell ref="E43:F43"/>
    <mergeCell ref="I24:N24"/>
    <mergeCell ref="E18:F18"/>
    <mergeCell ref="I18:N18"/>
    <mergeCell ref="E22:F22"/>
    <mergeCell ref="I22:N22"/>
    <mergeCell ref="I23:N23"/>
    <mergeCell ref="E24:F24"/>
    <mergeCell ref="E10:F10"/>
    <mergeCell ref="E12:F12"/>
    <mergeCell ref="I12:N12"/>
    <mergeCell ref="E13:F13"/>
    <mergeCell ref="I13:N13"/>
    <mergeCell ref="I17:N17"/>
    <mergeCell ref="I21:N21"/>
    <mergeCell ref="I10:N10"/>
    <mergeCell ref="E25:F25"/>
    <mergeCell ref="I25:N25"/>
    <mergeCell ref="E26:F26"/>
    <mergeCell ref="I26:N26"/>
    <mergeCell ref="E27:F27"/>
    <mergeCell ref="I27:N27"/>
    <mergeCell ref="E34:F34"/>
    <mergeCell ref="A1:B4"/>
    <mergeCell ref="C1:N4"/>
    <mergeCell ref="A6:B6"/>
    <mergeCell ref="C6:E6"/>
    <mergeCell ref="F6:G6"/>
    <mergeCell ref="I6:N6"/>
    <mergeCell ref="E9:F9"/>
    <mergeCell ref="I9:N9"/>
    <mergeCell ref="E21:F21"/>
    <mergeCell ref="E14:F14"/>
    <mergeCell ref="I14:N14"/>
    <mergeCell ref="E16:F16"/>
    <mergeCell ref="I16:N16"/>
    <mergeCell ref="E15:F15"/>
    <mergeCell ref="A7:B7"/>
    <mergeCell ref="C7:E7"/>
    <mergeCell ref="E23:F23"/>
  </mergeCells>
  <printOptions horizontalCentered="1" verticalCentered="1"/>
  <pageMargins left="0.70866141732283472" right="0" top="0.74803149606299213" bottom="0.74803149606299213" header="0.31496062992125984" footer="0.31496062992125984"/>
  <pageSetup paperSize="9" fitToHeight="0" orientation="portrait" r:id="rId1"/>
  <headerFooter scaleWithDoc="0"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EE130-4F84-4334-9E43-CC0B554A6808}">
  <sheetPr codeName="Hoja9">
    <tabColor rgb="FFFFC000"/>
    <pageSetUpPr fitToPage="1"/>
  </sheetPr>
  <dimension ref="A1:W393"/>
  <sheetViews>
    <sheetView zoomScale="60" zoomScaleNormal="60" zoomScaleSheetLayoutView="69" workbookViewId="0">
      <pane ySplit="12" topLeftCell="A407" activePane="bottomLeft" state="frozen"/>
      <selection pane="bottomLeft" activeCell="L17" sqref="L17:L354"/>
    </sheetView>
  </sheetViews>
  <sheetFormatPr baseColWidth="10" defaultColWidth="11.42578125" defaultRowHeight="15" outlineLevelRow="1" x14ac:dyDescent="0.25"/>
  <cols>
    <col min="1" max="1" width="6.42578125" customWidth="1"/>
    <col min="2" max="2" width="20.5703125" customWidth="1"/>
    <col min="3" max="3" width="28.5703125" bestFit="1" customWidth="1"/>
    <col min="4" max="4" width="28.5703125" customWidth="1"/>
    <col min="5" max="5" width="28.42578125" customWidth="1"/>
    <col min="6" max="6" width="16.5703125" customWidth="1"/>
    <col min="7" max="7" width="16.42578125" customWidth="1"/>
    <col min="8" max="8" width="16" customWidth="1"/>
    <col min="9" max="10" width="15.5703125" customWidth="1"/>
    <col min="11" max="11" width="16.5703125" customWidth="1"/>
    <col min="12" max="12" width="14.5703125" bestFit="1" customWidth="1"/>
    <col min="13" max="13" width="15.42578125" customWidth="1"/>
    <col min="14" max="14" width="14.5703125" customWidth="1"/>
    <col min="15" max="15" width="46.42578125" style="50" customWidth="1"/>
    <col min="16" max="16" width="14.42578125" style="50" customWidth="1"/>
    <col min="17" max="17" width="16" customWidth="1"/>
    <col min="18" max="18" width="11.42578125" hidden="1" customWidth="1"/>
    <col min="19" max="19" width="12.5703125" customWidth="1"/>
    <col min="20" max="20" width="13.5703125" customWidth="1"/>
    <col min="21" max="21" width="14.42578125" hidden="1" customWidth="1"/>
    <col min="22" max="22" width="9.42578125" hidden="1" customWidth="1"/>
    <col min="23" max="23" width="17.42578125" bestFit="1" customWidth="1"/>
    <col min="24" max="24" width="11.42578125" customWidth="1"/>
  </cols>
  <sheetData>
    <row r="1" spans="1:23" ht="6.75" customHeight="1" outlineLevel="1" x14ac:dyDescent="0.25">
      <c r="A1" s="59"/>
      <c r="B1" s="47"/>
      <c r="C1" s="657" t="s">
        <v>212</v>
      </c>
      <c r="D1" s="657"/>
      <c r="E1" s="657"/>
      <c r="F1" s="132"/>
      <c r="G1" s="47"/>
      <c r="H1" s="47"/>
      <c r="I1" s="47"/>
      <c r="J1" s="47"/>
      <c r="K1" s="47"/>
      <c r="L1" s="47"/>
      <c r="M1" s="47"/>
      <c r="N1" s="47"/>
      <c r="O1" s="48"/>
      <c r="P1" s="48"/>
      <c r="Q1" s="47">
        <v>1</v>
      </c>
    </row>
    <row r="2" spans="1:23" ht="21" customHeight="1" outlineLevel="1" x14ac:dyDescent="0.25">
      <c r="A2" s="59"/>
      <c r="B2" s="658" t="s">
        <v>213</v>
      </c>
      <c r="C2" s="657"/>
      <c r="D2" s="657"/>
      <c r="E2" s="657"/>
      <c r="F2" s="659" t="s">
        <v>214</v>
      </c>
      <c r="G2" s="656" t="s">
        <v>215</v>
      </c>
      <c r="H2" s="660" t="s">
        <v>216</v>
      </c>
      <c r="I2" s="656" t="s">
        <v>217</v>
      </c>
      <c r="J2" s="662" t="s">
        <v>218</v>
      </c>
      <c r="K2" s="662"/>
      <c r="L2" s="662"/>
      <c r="M2" s="660" t="s">
        <v>219</v>
      </c>
      <c r="N2" s="656" t="s">
        <v>220</v>
      </c>
      <c r="O2" s="660" t="s">
        <v>221</v>
      </c>
      <c r="P2" s="656" t="s">
        <v>211</v>
      </c>
      <c r="Q2" s="47">
        <v>1</v>
      </c>
    </row>
    <row r="3" spans="1:23" ht="42" outlineLevel="1" x14ac:dyDescent="0.25">
      <c r="A3" s="59"/>
      <c r="B3" s="658"/>
      <c r="C3" s="71" t="s">
        <v>222</v>
      </c>
      <c r="D3" s="71" t="s">
        <v>223</v>
      </c>
      <c r="E3" s="72" t="s">
        <v>224</v>
      </c>
      <c r="F3" s="659"/>
      <c r="G3" s="656"/>
      <c r="H3" s="661"/>
      <c r="I3" s="656"/>
      <c r="J3" s="49" t="s">
        <v>225</v>
      </c>
      <c r="K3" s="49" t="s">
        <v>226</v>
      </c>
      <c r="L3" s="49" t="s">
        <v>227</v>
      </c>
      <c r="M3" s="660"/>
      <c r="N3" s="656"/>
      <c r="O3" s="660"/>
      <c r="P3" s="656"/>
      <c r="Q3" s="47">
        <v>1</v>
      </c>
    </row>
    <row r="4" spans="1:23" ht="21" outlineLevel="1" x14ac:dyDescent="0.25">
      <c r="A4" s="59"/>
      <c r="B4" s="52">
        <f>COUNTIF(Tabla1313[Estado],B2)</f>
        <v>32</v>
      </c>
      <c r="C4" s="52">
        <f>COUNTIFS(Tabla1313[Estado],C1,Tabla1313[LM SAP],"No Disponible")</f>
        <v>66</v>
      </c>
      <c r="D4" s="52">
        <f>COUNTIFS(Tabla1313[Estado],C1,Tabla1313[LM SAP],"Firmas SAP")</f>
        <v>0</v>
      </c>
      <c r="E4" s="52">
        <f>COUNTIFS(Tabla1313[Estado],C1,Tabla1313[LM SAP],"Disponible")+COUNTIFS(Tabla1313[Estado],C1,Tabla1313[LM SAP],"CONSULTAR")</f>
        <v>22</v>
      </c>
      <c r="F4" s="52">
        <f>COUNTIF(Tabla1313[Estado],F2)</f>
        <v>1</v>
      </c>
      <c r="G4" s="52" t="e">
        <f>#REF!</f>
        <v>#REF!</v>
      </c>
      <c r="H4" s="52" t="e">
        <f>#REF!</f>
        <v>#REF!</v>
      </c>
      <c r="I4" s="52" t="e">
        <f>#REF!</f>
        <v>#REF!</v>
      </c>
      <c r="J4" s="52" t="e">
        <f>#REF!</f>
        <v>#REF!</v>
      </c>
      <c r="K4" s="52" t="e">
        <f>#REF!</f>
        <v>#REF!</v>
      </c>
      <c r="L4" s="52" t="e">
        <f>#REF!</f>
        <v>#REF!</v>
      </c>
      <c r="M4" s="52" t="e">
        <f>#REF!</f>
        <v>#REF!</v>
      </c>
      <c r="N4" s="52" t="e">
        <f>#REF!</f>
        <v>#REF!</v>
      </c>
      <c r="O4" s="52" t="e">
        <f>#REF!</f>
        <v>#REF!</v>
      </c>
      <c r="P4" s="51" t="e">
        <f>SUM(B4:O4)</f>
        <v>#REF!</v>
      </c>
      <c r="Q4" s="47">
        <v>1</v>
      </c>
    </row>
    <row r="5" spans="1:23" ht="20.25" customHeight="1" outlineLevel="1" x14ac:dyDescent="0.25">
      <c r="A5" s="59"/>
      <c r="B5" s="53" t="e">
        <f t="shared" ref="B5:P5" si="0">B4/$P$4</f>
        <v>#REF!</v>
      </c>
      <c r="C5" s="53" t="e">
        <f t="shared" si="0"/>
        <v>#REF!</v>
      </c>
      <c r="D5" s="53" t="e">
        <f t="shared" si="0"/>
        <v>#REF!</v>
      </c>
      <c r="E5" s="53" t="e">
        <f t="shared" si="0"/>
        <v>#REF!</v>
      </c>
      <c r="F5" s="53" t="e">
        <f t="shared" si="0"/>
        <v>#REF!</v>
      </c>
      <c r="G5" s="53" t="e">
        <f t="shared" si="0"/>
        <v>#REF!</v>
      </c>
      <c r="H5" s="53" t="e">
        <f t="shared" si="0"/>
        <v>#REF!</v>
      </c>
      <c r="I5" s="53" t="e">
        <f t="shared" si="0"/>
        <v>#REF!</v>
      </c>
      <c r="J5" s="53" t="e">
        <f t="shared" si="0"/>
        <v>#REF!</v>
      </c>
      <c r="K5" s="53" t="e">
        <f t="shared" si="0"/>
        <v>#REF!</v>
      </c>
      <c r="L5" s="53" t="e">
        <f t="shared" si="0"/>
        <v>#REF!</v>
      </c>
      <c r="M5" s="53" t="e">
        <f t="shared" si="0"/>
        <v>#REF!</v>
      </c>
      <c r="N5" s="53" t="e">
        <f t="shared" si="0"/>
        <v>#REF!</v>
      </c>
      <c r="O5" s="53" t="e">
        <f t="shared" si="0"/>
        <v>#REF!</v>
      </c>
      <c r="P5" s="53" t="e">
        <f t="shared" si="0"/>
        <v>#REF!</v>
      </c>
      <c r="Q5" s="47">
        <v>1</v>
      </c>
    </row>
    <row r="6" spans="1:23" ht="28.5" customHeight="1" outlineLevel="1" x14ac:dyDescent="0.25">
      <c r="A6" s="59"/>
      <c r="B6" s="47"/>
      <c r="C6" s="47"/>
      <c r="D6" s="47"/>
      <c r="E6" s="47"/>
      <c r="F6" s="98" t="s">
        <v>228</v>
      </c>
      <c r="G6" s="47"/>
      <c r="H6" s="47"/>
      <c r="I6" s="47"/>
      <c r="J6" s="47"/>
      <c r="K6" s="47"/>
      <c r="L6" s="47"/>
      <c r="M6" s="47"/>
      <c r="N6" s="47"/>
      <c r="O6" s="48"/>
      <c r="P6" s="48"/>
      <c r="Q6" s="47">
        <v>1</v>
      </c>
    </row>
    <row r="7" spans="1:23" ht="16.5" customHeight="1" outlineLevel="1" x14ac:dyDescent="0.25">
      <c r="A7" s="95"/>
      <c r="B7" s="95"/>
      <c r="C7" s="95"/>
      <c r="D7" s="95"/>
      <c r="E7" s="95"/>
      <c r="F7" s="99" t="s">
        <v>229</v>
      </c>
      <c r="G7" s="95"/>
      <c r="H7" s="95"/>
      <c r="I7" s="48"/>
      <c r="J7" s="48"/>
      <c r="K7" s="48"/>
      <c r="L7" s="48"/>
      <c r="M7" s="48"/>
      <c r="N7" s="48"/>
      <c r="O7" s="48"/>
      <c r="P7" s="48"/>
      <c r="Q7" s="47">
        <v>1</v>
      </c>
    </row>
    <row r="8" spans="1:23" ht="18" customHeight="1" outlineLevel="1" x14ac:dyDescent="0.25">
      <c r="A8" s="97"/>
      <c r="B8" s="96"/>
      <c r="C8" s="96"/>
      <c r="D8" s="96"/>
      <c r="E8" s="96"/>
      <c r="F8" s="96"/>
      <c r="G8" s="96"/>
      <c r="H8" s="96"/>
      <c r="I8" s="47"/>
      <c r="J8" s="47"/>
      <c r="K8" s="47"/>
      <c r="L8" s="47"/>
      <c r="M8" s="47"/>
      <c r="N8" s="47"/>
      <c r="O8" s="48"/>
      <c r="P8" s="48"/>
      <c r="Q8" s="47">
        <v>1</v>
      </c>
    </row>
    <row r="9" spans="1:23" s="4" customFormat="1" ht="30" outlineLevel="1" x14ac:dyDescent="0.25">
      <c r="A9" s="66" t="s">
        <v>8</v>
      </c>
      <c r="B9" s="54" t="s">
        <v>0</v>
      </c>
      <c r="C9" s="54" t="s">
        <v>230</v>
      </c>
      <c r="D9" s="54" t="s">
        <v>231</v>
      </c>
      <c r="E9" s="54" t="s">
        <v>232</v>
      </c>
      <c r="F9" s="54" t="s">
        <v>233</v>
      </c>
      <c r="G9" s="54" t="s">
        <v>234</v>
      </c>
      <c r="H9" s="54" t="s">
        <v>235</v>
      </c>
      <c r="I9" s="54" t="s">
        <v>213</v>
      </c>
      <c r="J9" s="54" t="s">
        <v>236</v>
      </c>
      <c r="K9" s="55" t="s">
        <v>17</v>
      </c>
      <c r="L9" s="56" t="s">
        <v>237</v>
      </c>
      <c r="M9" s="57" t="s">
        <v>238</v>
      </c>
      <c r="N9" s="56" t="s">
        <v>239</v>
      </c>
      <c r="O9" s="56" t="s">
        <v>14</v>
      </c>
      <c r="P9" s="67"/>
      <c r="Q9" s="47">
        <v>1</v>
      </c>
    </row>
    <row r="10" spans="1:23" s="6" customFormat="1" ht="16.5" outlineLevel="1" x14ac:dyDescent="0.25">
      <c r="A10" s="106"/>
      <c r="B10" s="212"/>
      <c r="C10" s="106"/>
      <c r="D10" s="185"/>
      <c r="E10" s="185"/>
      <c r="F10" s="136"/>
      <c r="G10" s="107"/>
      <c r="H10" s="107"/>
      <c r="I10" s="106"/>
      <c r="J10" s="106"/>
      <c r="K10" s="107"/>
      <c r="L10" s="106"/>
      <c r="M10" s="108"/>
      <c r="N10" s="108"/>
      <c r="O10" s="186"/>
      <c r="P10" s="109"/>
      <c r="Q10" s="47">
        <v>1</v>
      </c>
    </row>
    <row r="11" spans="1:23" x14ac:dyDescent="0.25">
      <c r="A11" s="59"/>
      <c r="B11" s="47"/>
      <c r="C11" s="47"/>
      <c r="D11" s="47"/>
      <c r="E11" s="47"/>
      <c r="F11" s="47"/>
      <c r="G11" s="47"/>
      <c r="H11" s="47"/>
      <c r="I11" s="47"/>
      <c r="J11" s="47"/>
      <c r="K11" s="47"/>
      <c r="L11" s="47"/>
      <c r="M11" s="47"/>
      <c r="N11" s="47"/>
      <c r="O11" s="48"/>
      <c r="P11" s="48"/>
      <c r="Q11" s="47">
        <v>1</v>
      </c>
    </row>
    <row r="12" spans="1:23" ht="30" x14ac:dyDescent="0.25">
      <c r="A12" s="100" t="s">
        <v>8</v>
      </c>
      <c r="B12" s="101" t="s">
        <v>0</v>
      </c>
      <c r="C12" s="101" t="s">
        <v>230</v>
      </c>
      <c r="D12" s="101" t="s">
        <v>231</v>
      </c>
      <c r="E12" s="101" t="s">
        <v>232</v>
      </c>
      <c r="F12" s="101" t="s">
        <v>233</v>
      </c>
      <c r="G12" s="101" t="s">
        <v>234</v>
      </c>
      <c r="H12" s="101" t="s">
        <v>235</v>
      </c>
      <c r="I12" s="101" t="s">
        <v>213</v>
      </c>
      <c r="J12" s="101" t="s">
        <v>236</v>
      </c>
      <c r="K12" s="55" t="s">
        <v>17</v>
      </c>
      <c r="L12" s="56" t="s">
        <v>237</v>
      </c>
      <c r="M12" s="57" t="s">
        <v>238</v>
      </c>
      <c r="N12" s="56" t="s">
        <v>239</v>
      </c>
      <c r="O12" s="56" t="s">
        <v>14</v>
      </c>
      <c r="P12" s="60" t="s">
        <v>240</v>
      </c>
      <c r="Q12" s="74" t="s">
        <v>241</v>
      </c>
      <c r="R12" s="73" t="s">
        <v>242</v>
      </c>
      <c r="S12" s="79" t="s">
        <v>243</v>
      </c>
      <c r="T12" s="56" t="s">
        <v>244</v>
      </c>
      <c r="U12" s="113" t="s">
        <v>245</v>
      </c>
      <c r="V12" s="113" t="s">
        <v>223</v>
      </c>
      <c r="W12" s="113" t="s">
        <v>246</v>
      </c>
    </row>
    <row r="13" spans="1:23" s="130" customFormat="1" ht="45" x14ac:dyDescent="0.25">
      <c r="A13" s="152">
        <v>100</v>
      </c>
      <c r="B13" s="61" t="s">
        <v>247</v>
      </c>
      <c r="C13" s="126" t="s">
        <v>248</v>
      </c>
      <c r="D13" s="152"/>
      <c r="E13" s="126" t="s">
        <v>249</v>
      </c>
      <c r="F13" s="152">
        <v>1</v>
      </c>
      <c r="G13" s="125" t="s">
        <v>234</v>
      </c>
      <c r="H13" s="125" t="s">
        <v>250</v>
      </c>
      <c r="I13" s="125" t="s">
        <v>251</v>
      </c>
      <c r="J13" s="152"/>
      <c r="K13" s="213" t="s">
        <v>252</v>
      </c>
      <c r="L13" s="214">
        <v>60004987</v>
      </c>
      <c r="M13" s="215">
        <v>45615</v>
      </c>
      <c r="N13" s="216" t="s">
        <v>253</v>
      </c>
      <c r="O13" s="217" t="s">
        <v>254</v>
      </c>
      <c r="P13" s="218" t="str">
        <f>IF(LEFT(B13,5)="09735",
    IF(ISNA(VLOOKUP(Tabla1313[[#This Row],[Apoyo]],'LM SAP'!A:G,1,FALSE)),
        "No Disponible",
        IF(VLOOKUP(Tabla1313[[#This Row],[Apoyo]],'LM SAP'!A:AD,9,FALSE)="RR",
            "Disponible",
            "Firmas SAP"
        )
    ),
    "CONSULTAR"
)</f>
        <v>No Disponible</v>
      </c>
      <c r="Q13" s="127" t="str">
        <f>MID(Tabla1313[[#This Row],[Código Indra]],1,13)</f>
        <v>0973524330100</v>
      </c>
      <c r="R13" s="127" t="s">
        <v>255</v>
      </c>
      <c r="S13" s="128" t="str">
        <f>IF(ISNA(VLOOKUP(Tabla1313[[#This Row],[Código Indra]],#REF!,1,FALSE)),"NO", "SI")</f>
        <v>SI</v>
      </c>
      <c r="T13" s="129"/>
      <c r="U13" s="130" t="s">
        <v>256</v>
      </c>
      <c r="V13" s="130" t="e">
        <f>VLOOKUP(Tabla1313[[#This Row],[Apoyo]],'LM SAP'!A:I,9,FALSE)</f>
        <v>#N/A</v>
      </c>
      <c r="W13" s="130" t="e">
        <f>VLOOKUP(Tabla1313[[#This Row],[Código Indra]],#REF!,1,FALSE)</f>
        <v>#REF!</v>
      </c>
    </row>
    <row r="14" spans="1:23" ht="96" x14ac:dyDescent="0.25">
      <c r="A14" s="64">
        <v>1</v>
      </c>
      <c r="B14" s="93" t="s">
        <v>257</v>
      </c>
      <c r="C14" s="76" t="s">
        <v>258</v>
      </c>
      <c r="D14" s="64" t="s">
        <v>121</v>
      </c>
      <c r="E14" s="76" t="s">
        <v>259</v>
      </c>
      <c r="F14" s="64">
        <v>1</v>
      </c>
      <c r="G14" s="61" t="s">
        <v>260</v>
      </c>
      <c r="H14" s="61" t="s">
        <v>261</v>
      </c>
      <c r="I14" s="64" t="s">
        <v>251</v>
      </c>
      <c r="J14" s="64">
        <v>24360001</v>
      </c>
      <c r="K14" s="213" t="s">
        <v>262</v>
      </c>
      <c r="L14" s="214">
        <v>60004274</v>
      </c>
      <c r="M14" s="215">
        <v>45546</v>
      </c>
      <c r="N14" s="215">
        <v>45574</v>
      </c>
      <c r="O14" s="219" t="s">
        <v>263</v>
      </c>
      <c r="P14" s="220" t="str">
        <f>IF(LEFT(B14,5)="09735",
    IF(ISNA(VLOOKUP(Tabla1313[[#This Row],[Apoyo]],'LM SAP'!A:G,1,FALSE)),
        "No Disponible",
        IF(VLOOKUP(Tabla1313[[#This Row],[Apoyo]],'LM SAP'!A:AD,9,FALSE)="RR",
            "Disponible",
            "Firmas SAP"
        )
    ),
    "CONSULTAR"
)</f>
        <v>No Disponible</v>
      </c>
      <c r="Q14" s="63" t="str">
        <f>MID(Tabla1313[[#This Row],[Código Indra]],1,13)</f>
        <v>0973525030500</v>
      </c>
      <c r="R14" s="63" t="s">
        <v>255</v>
      </c>
      <c r="S14" s="90" t="str">
        <f>IF(ISNA(VLOOKUP(Tabla1313[[#This Row],[Código Indra]],#REF!,1,FALSE)),"NO", "SI")</f>
        <v>SI</v>
      </c>
      <c r="T14" s="91"/>
      <c r="U14" t="s">
        <v>260</v>
      </c>
      <c r="V14" t="e">
        <f>VLOOKUP(Tabla1313[[#This Row],[Apoyo]],'LM SAP'!A:I,9,FALSE)</f>
        <v>#N/A</v>
      </c>
      <c r="W14" t="e">
        <f>VLOOKUP(Tabla1313[[#This Row],[Código Indra]],#REF!,1,FALSE)</f>
        <v>#REF!</v>
      </c>
    </row>
    <row r="15" spans="1:23" ht="45" x14ac:dyDescent="0.25">
      <c r="A15" s="64">
        <v>2</v>
      </c>
      <c r="B15" s="94" t="s">
        <v>264</v>
      </c>
      <c r="C15" s="75" t="s">
        <v>265</v>
      </c>
      <c r="D15" s="61" t="s">
        <v>121</v>
      </c>
      <c r="E15" s="75" t="s">
        <v>266</v>
      </c>
      <c r="F15" s="64">
        <v>1</v>
      </c>
      <c r="G15" s="61" t="s">
        <v>260</v>
      </c>
      <c r="H15" s="61" t="s">
        <v>261</v>
      </c>
      <c r="I15" s="61" t="s">
        <v>251</v>
      </c>
      <c r="J15" s="64">
        <v>24360001</v>
      </c>
      <c r="K15" s="221" t="s">
        <v>220</v>
      </c>
      <c r="L15" s="222">
        <v>60004275</v>
      </c>
      <c r="M15" s="223">
        <v>45546</v>
      </c>
      <c r="N15" s="223">
        <v>45558</v>
      </c>
      <c r="O15" s="224" t="s">
        <v>267</v>
      </c>
      <c r="P15" s="220" t="str">
        <f>IF(LEFT(B15,5)="09735",
    IF(ISNA(VLOOKUP(Tabla1313[[#This Row],[Apoyo]],'LM SAP'!A:G,1,FALSE)),
        "No Disponible",
        IF(VLOOKUP(Tabla1313[[#This Row],[Apoyo]],'LM SAP'!A:AD,9,FALSE)="RR",
            "Disponible",
            "Firmas SAP"
        )
    ),
    "CONSULTAR"
)</f>
        <v>No Disponible</v>
      </c>
      <c r="Q15" s="63" t="str">
        <f>MID(Tabla1313[[#This Row],[Código Indra]],1,13)</f>
        <v>0973525031000</v>
      </c>
      <c r="R15" s="63" t="s">
        <v>255</v>
      </c>
      <c r="S15" s="90" t="str">
        <f>IF(ISNA(VLOOKUP(Tabla1313[[#This Row],[Código Indra]],#REF!,1,FALSE)),"NO", "SI")</f>
        <v>SI</v>
      </c>
      <c r="T15" s="91"/>
      <c r="U15" t="s">
        <v>260</v>
      </c>
      <c r="V15" t="e">
        <f>VLOOKUP(Tabla1313[[#This Row],[Apoyo]],'LM SAP'!A:I,9,FALSE)</f>
        <v>#N/A</v>
      </c>
      <c r="W15" t="e">
        <f>VLOOKUP(Tabla1313[[#This Row],[Código Indra]],#REF!,1,FALSE)</f>
        <v>#REF!</v>
      </c>
    </row>
    <row r="16" spans="1:23" ht="96" x14ac:dyDescent="0.25">
      <c r="A16" s="64">
        <v>3</v>
      </c>
      <c r="B16" s="94" t="s">
        <v>268</v>
      </c>
      <c r="C16" s="76" t="s">
        <v>269</v>
      </c>
      <c r="D16" s="64" t="s">
        <v>128</v>
      </c>
      <c r="E16" s="76" t="s">
        <v>270</v>
      </c>
      <c r="F16" s="64">
        <v>1</v>
      </c>
      <c r="G16" s="61" t="s">
        <v>260</v>
      </c>
      <c r="H16" s="61" t="s">
        <v>261</v>
      </c>
      <c r="I16" s="64" t="s">
        <v>251</v>
      </c>
      <c r="J16" s="64">
        <v>24360001</v>
      </c>
      <c r="K16" s="213" t="s">
        <v>262</v>
      </c>
      <c r="L16" s="214">
        <v>60004385</v>
      </c>
      <c r="M16" s="215">
        <v>45546</v>
      </c>
      <c r="N16" s="215">
        <v>45574</v>
      </c>
      <c r="O16" s="219" t="s">
        <v>271</v>
      </c>
      <c r="P16" s="220" t="str">
        <f>IF(LEFT(B16,5)="09735",
    IF(ISNA(VLOOKUP(Tabla1313[[#This Row],[Apoyo]],'LM SAP'!A:G,1,FALSE)),
        "No Disponible",
        IF(VLOOKUP(Tabla1313[[#This Row],[Apoyo]],'LM SAP'!A:AD,9,FALSE)="RR",
            "Disponible",
            "Firmas SAP"
        )
    ),
    "CONSULTAR"
)</f>
        <v>No Disponible</v>
      </c>
      <c r="Q16" s="63" t="str">
        <f>MID(Tabla1313[[#This Row],[Código Indra]],1,13)</f>
        <v>0973525060500</v>
      </c>
      <c r="R16" s="63" t="s">
        <v>255</v>
      </c>
      <c r="S16" s="90" t="str">
        <f>IF(ISNA(VLOOKUP(Tabla1313[[#This Row],[Código Indra]],#REF!,1,FALSE)),"NO", "SI")</f>
        <v>SI</v>
      </c>
      <c r="T16" s="91"/>
      <c r="U16" t="s">
        <v>260</v>
      </c>
      <c r="V16" t="e">
        <f>VLOOKUP(Tabla1313[[#This Row],[Apoyo]],'LM SAP'!A:I,9,FALSE)</f>
        <v>#N/A</v>
      </c>
      <c r="W16" t="e">
        <f>VLOOKUP(Tabla1313[[#This Row],[Código Indra]],#REF!,1,FALSE)</f>
        <v>#REF!</v>
      </c>
    </row>
    <row r="17" spans="1:23" ht="60" x14ac:dyDescent="0.25">
      <c r="A17" s="161">
        <v>4</v>
      </c>
      <c r="B17" s="64" t="s">
        <v>272</v>
      </c>
      <c r="C17" s="76" t="s">
        <v>273</v>
      </c>
      <c r="D17" s="64" t="s">
        <v>134</v>
      </c>
      <c r="E17" s="76" t="s">
        <v>274</v>
      </c>
      <c r="F17" s="64">
        <v>1</v>
      </c>
      <c r="G17" s="61" t="s">
        <v>234</v>
      </c>
      <c r="H17" s="61" t="s">
        <v>275</v>
      </c>
      <c r="I17" s="64" t="s">
        <v>276</v>
      </c>
      <c r="J17" s="64">
        <v>24360001</v>
      </c>
      <c r="K17" s="225" t="s">
        <v>221</v>
      </c>
      <c r="L17" s="222">
        <v>60004276</v>
      </c>
      <c r="M17" s="223">
        <v>45546</v>
      </c>
      <c r="N17" s="223">
        <v>45561</v>
      </c>
      <c r="O17" s="164" t="s">
        <v>277</v>
      </c>
      <c r="P17" s="226" t="str">
        <f>IF(LEFT(B17,5)="09735",
    IF(ISNA(VLOOKUP(Tabla1313[[#This Row],[Apoyo]],'LM SAP'!A:G,1,FALSE)),
        "No Disponible",
        IF(VLOOKUP(Tabla1313[[#This Row],[Apoyo]],'LM SAP'!A:AD,9,FALSE)="RR",
            "Disponible",
            "Firmas SAP"
        )
    ),
    "CONSULTAR"
)</f>
        <v>No Disponible</v>
      </c>
      <c r="Q17" s="165" t="str">
        <f>MID(Tabla1313[[#This Row],[Código Indra]],1,13)</f>
        <v>0973525070100</v>
      </c>
      <c r="R17" s="90" t="s">
        <v>255</v>
      </c>
      <c r="S17" s="8" t="str">
        <f>IF(ISNA(VLOOKUP(Tabla1313[[#This Row],[Código Indra]],#REF!,1,FALSE)),"NO", "SI")</f>
        <v>SI</v>
      </c>
      <c r="T17" s="8"/>
      <c r="U17" t="s">
        <v>255</v>
      </c>
      <c r="V17" t="e">
        <f>VLOOKUP(Tabla1313[[#This Row],[Apoyo]],'LM SAP'!A:I,9,FALSE)</f>
        <v>#N/A</v>
      </c>
      <c r="W17" t="e">
        <f>VLOOKUP(Tabla1313[[#This Row],[Código Indra]],#REF!,1,FALSE)</f>
        <v>#REF!</v>
      </c>
    </row>
    <row r="18" spans="1:23" ht="60" x14ac:dyDescent="0.25">
      <c r="A18" s="161">
        <v>5</v>
      </c>
      <c r="B18" s="64" t="s">
        <v>278</v>
      </c>
      <c r="C18" s="76" t="s">
        <v>279</v>
      </c>
      <c r="D18" s="64" t="s">
        <v>134</v>
      </c>
      <c r="E18" s="76" t="s">
        <v>280</v>
      </c>
      <c r="F18" s="64">
        <v>1</v>
      </c>
      <c r="G18" s="61" t="s">
        <v>234</v>
      </c>
      <c r="H18" s="64"/>
      <c r="I18" s="64" t="s">
        <v>276</v>
      </c>
      <c r="J18" s="64">
        <v>24360001</v>
      </c>
      <c r="K18" s="225" t="s">
        <v>221</v>
      </c>
      <c r="L18" s="222">
        <v>60004277</v>
      </c>
      <c r="M18" s="223">
        <v>45546</v>
      </c>
      <c r="N18" s="223">
        <v>45561</v>
      </c>
      <c r="O18" s="164" t="s">
        <v>281</v>
      </c>
      <c r="P18" s="226" t="str">
        <f>IF(LEFT(B18,5)="09735",
    IF(ISNA(VLOOKUP(Tabla1313[[#This Row],[Apoyo]],'LM SAP'!A:G,1,FALSE)),
        "No Disponible",
        IF(VLOOKUP(Tabla1313[[#This Row],[Apoyo]],'LM SAP'!A:AD,9,FALSE)="RR",
            "Disponible",
            "Firmas SAP"
        )
    ),
    "CONSULTAR"
)</f>
        <v>Disponible</v>
      </c>
      <c r="Q18" s="165" t="str">
        <f>MID(Tabla1313[[#This Row],[Código Indra]],1,13)</f>
        <v>0973525072400</v>
      </c>
      <c r="R18" s="63" t="s">
        <v>255</v>
      </c>
      <c r="S18" s="166" t="str">
        <f>IF(ISNA(VLOOKUP(Tabla1313[[#This Row],[Código Indra]],#REF!,1,FALSE)),"NO", "SI")</f>
        <v>SI</v>
      </c>
      <c r="T18" s="8"/>
      <c r="U18" t="s">
        <v>255</v>
      </c>
      <c r="V18" t="str">
        <f>VLOOKUP(Tabla1313[[#This Row],[Apoyo]],'LM SAP'!A:I,9,FALSE)</f>
        <v>RR</v>
      </c>
      <c r="W18" t="e">
        <f>VLOOKUP(Tabla1313[[#This Row],[Código Indra]],#REF!,1,FALSE)</f>
        <v>#REF!</v>
      </c>
    </row>
    <row r="19" spans="1:23" ht="60" x14ac:dyDescent="0.25">
      <c r="A19" s="64">
        <v>6</v>
      </c>
      <c r="B19" s="93" t="s">
        <v>282</v>
      </c>
      <c r="C19" s="75" t="s">
        <v>283</v>
      </c>
      <c r="D19" s="61" t="s">
        <v>134</v>
      </c>
      <c r="E19" s="75" t="s">
        <v>284</v>
      </c>
      <c r="F19" s="64">
        <v>1</v>
      </c>
      <c r="G19" s="61" t="s">
        <v>234</v>
      </c>
      <c r="H19" s="64"/>
      <c r="I19" s="61" t="s">
        <v>276</v>
      </c>
      <c r="J19" s="64">
        <v>24370001</v>
      </c>
      <c r="K19" s="221" t="s">
        <v>220</v>
      </c>
      <c r="L19" s="222">
        <v>60004398</v>
      </c>
      <c r="M19" s="223">
        <v>45552</v>
      </c>
      <c r="N19" s="223">
        <v>45561</v>
      </c>
      <c r="O19" s="119" t="s">
        <v>285</v>
      </c>
      <c r="P19" s="220" t="str">
        <f>IF(LEFT(B19,5)="09735",
    IF(ISNA(VLOOKUP(Tabla1313[[#This Row],[Apoyo]],'LM SAP'!A:G,1,FALSE)),
        "No Disponible",
        IF(VLOOKUP(Tabla1313[[#This Row],[Apoyo]],'LM SAP'!A:AD,9,FALSE)="RR",
            "Disponible",
            "Firmas SAP"
        )
    ),
    "CONSULTAR"
)</f>
        <v>No Disponible</v>
      </c>
      <c r="Q19" s="63" t="str">
        <f>MID(Tabla1313[[#This Row],[Código Indra]],1,13)</f>
        <v>0973525071300</v>
      </c>
      <c r="R19" s="63" t="s">
        <v>255</v>
      </c>
      <c r="S19" s="90" t="str">
        <f>IF(ISNA(VLOOKUP(Tabla1313[[#This Row],[Código Indra]],#REF!,1,FALSE)),"NO", "SI")</f>
        <v>SI</v>
      </c>
      <c r="T19" s="91"/>
      <c r="U19" t="s">
        <v>255</v>
      </c>
      <c r="V19" t="e">
        <f>VLOOKUP(Tabla1313[[#This Row],[Apoyo]],'LM SAP'!A:I,9,FALSE)</f>
        <v>#N/A</v>
      </c>
      <c r="W19" t="e">
        <f>VLOOKUP(Tabla1313[[#This Row],[Código Indra]],#REF!,1,FALSE)</f>
        <v>#REF!</v>
      </c>
    </row>
    <row r="20" spans="1:23" ht="45" x14ac:dyDescent="0.25">
      <c r="A20" s="161">
        <v>7</v>
      </c>
      <c r="B20" s="64" t="s">
        <v>286</v>
      </c>
      <c r="C20" s="76" t="s">
        <v>287</v>
      </c>
      <c r="D20" s="64" t="s">
        <v>131</v>
      </c>
      <c r="E20" s="76" t="s">
        <v>288</v>
      </c>
      <c r="F20" s="64">
        <v>1</v>
      </c>
      <c r="G20" s="61" t="s">
        <v>234</v>
      </c>
      <c r="H20" s="64"/>
      <c r="I20" s="64" t="s">
        <v>276</v>
      </c>
      <c r="J20" s="64">
        <v>24360001</v>
      </c>
      <c r="K20" s="225" t="s">
        <v>221</v>
      </c>
      <c r="L20" s="222">
        <v>60004278</v>
      </c>
      <c r="M20" s="223">
        <v>45546</v>
      </c>
      <c r="N20" s="223">
        <v>45558</v>
      </c>
      <c r="O20" s="164" t="s">
        <v>267</v>
      </c>
      <c r="P20" s="226" t="str">
        <f>IF(LEFT(B20,5)="09735",
    IF(ISNA(VLOOKUP(Tabla1313[[#This Row],[Apoyo]],'LM SAP'!A:G,1,FALSE)),
        "No Disponible",
        IF(VLOOKUP(Tabla1313[[#This Row],[Apoyo]],'LM SAP'!A:AD,9,FALSE)="RR",
            "Disponible",
            "Firmas SAP"
        )
    ),
    "CONSULTAR"
)</f>
        <v>No Disponible</v>
      </c>
      <c r="Q20" s="165" t="str">
        <f>MID(Tabla1313[[#This Row],[Código Indra]],1,13)</f>
        <v>0973525091300</v>
      </c>
      <c r="R20" s="63" t="s">
        <v>255</v>
      </c>
      <c r="S20" s="166" t="str">
        <f>IF(ISNA(VLOOKUP(Tabla1313[[#This Row],[Código Indra]],#REF!,1,FALSE)),"NO", "SI")</f>
        <v>SI</v>
      </c>
      <c r="T20" s="7" t="s">
        <v>289</v>
      </c>
      <c r="U20" t="s">
        <v>255</v>
      </c>
      <c r="V20" t="e">
        <f>VLOOKUP(Tabla1313[[#This Row],[Apoyo]],'LM SAP'!A:I,9,FALSE)</f>
        <v>#N/A</v>
      </c>
      <c r="W20" t="e">
        <f>VLOOKUP(Tabla1313[[#This Row],[Código Indra]],#REF!,1,FALSE)</f>
        <v>#REF!</v>
      </c>
    </row>
    <row r="21" spans="1:23" ht="60" x14ac:dyDescent="0.25">
      <c r="A21" s="161">
        <v>8</v>
      </c>
      <c r="B21" s="163" t="s">
        <v>290</v>
      </c>
      <c r="C21" s="162" t="s">
        <v>291</v>
      </c>
      <c r="D21" s="163" t="s">
        <v>131</v>
      </c>
      <c r="E21" s="162" t="s">
        <v>292</v>
      </c>
      <c r="F21" s="161">
        <v>1</v>
      </c>
      <c r="G21" s="163" t="s">
        <v>234</v>
      </c>
      <c r="H21" s="161"/>
      <c r="I21" s="163" t="s">
        <v>276</v>
      </c>
      <c r="J21" s="161">
        <v>24370001</v>
      </c>
      <c r="K21" s="227" t="s">
        <v>221</v>
      </c>
      <c r="L21" s="228">
        <v>60004388</v>
      </c>
      <c r="M21" s="229">
        <v>45551</v>
      </c>
      <c r="N21" s="229">
        <v>45561</v>
      </c>
      <c r="O21" s="230" t="s">
        <v>293</v>
      </c>
      <c r="P21" s="231" t="str">
        <f>IF(LEFT(B21,5)="09735",
    IF(ISNA(VLOOKUP(Tabla1313[[#This Row],[Apoyo]],'LM SAP'!A:G,1,FALSE)),
        "No Disponible",
        IF(VLOOKUP(Tabla1313[[#This Row],[Apoyo]],'LM SAP'!A:AD,9,FALSE)="RR",
            "Disponible",
            "Firmas SAP"
        )
    ),
    "CONSULTAR"
)</f>
        <v>No Disponible</v>
      </c>
      <c r="Q21" s="172" t="str">
        <f>MID(Tabla1313[[#This Row],[Código Indra]],1,13)</f>
        <v>0973525091400</v>
      </c>
      <c r="R21" s="63" t="s">
        <v>255</v>
      </c>
      <c r="S21" s="173" t="str">
        <f>IF(ISNA(VLOOKUP(Tabla1313[[#This Row],[Código Indra]],#REF!,1,FALSE)),"NO", "SI")</f>
        <v>SI</v>
      </c>
      <c r="T21" s="174" t="s">
        <v>289</v>
      </c>
      <c r="U21" t="s">
        <v>255</v>
      </c>
      <c r="V21" t="e">
        <f>VLOOKUP(Tabla1313[[#This Row],[Apoyo]],'LM SAP'!A:I,9,FALSE)</f>
        <v>#N/A</v>
      </c>
      <c r="W21" t="e">
        <f>VLOOKUP(Tabla1313[[#This Row],[Código Indra]],#REF!,1,FALSE)</f>
        <v>#REF!</v>
      </c>
    </row>
    <row r="22" spans="1:23" ht="60" x14ac:dyDescent="0.25">
      <c r="A22" s="187">
        <v>9</v>
      </c>
      <c r="B22" s="93" t="s">
        <v>294</v>
      </c>
      <c r="C22" s="76" t="s">
        <v>295</v>
      </c>
      <c r="D22" s="64" t="s">
        <v>131</v>
      </c>
      <c r="E22" s="76" t="s">
        <v>296</v>
      </c>
      <c r="F22" s="64">
        <v>1</v>
      </c>
      <c r="G22" s="61" t="s">
        <v>260</v>
      </c>
      <c r="H22" s="61" t="s">
        <v>261</v>
      </c>
      <c r="I22" s="64" t="s">
        <v>276</v>
      </c>
      <c r="J22" s="64">
        <v>24360001</v>
      </c>
      <c r="K22" s="213" t="s">
        <v>220</v>
      </c>
      <c r="L22" s="214">
        <v>60004279</v>
      </c>
      <c r="M22" s="215">
        <v>45546</v>
      </c>
      <c r="N22" s="215">
        <v>45567</v>
      </c>
      <c r="O22" s="232" t="s">
        <v>281</v>
      </c>
      <c r="P22" s="220" t="str">
        <f>IF(LEFT(B22,5)="09735",
    IF(ISNA(VLOOKUP(Tabla1313[[#This Row],[Apoyo]],'LM SAP'!A:G,1,FALSE)),
        "No Disponible",
        IF(VLOOKUP(Tabla1313[[#This Row],[Apoyo]],'LM SAP'!A:AD,9,FALSE)="RR",
            "Disponible",
            "Firmas SAP"
        )
    ),
    "CONSULTAR"
)</f>
        <v>Disponible</v>
      </c>
      <c r="Q22" s="63" t="str">
        <f>MID(Tabla1313[[#This Row],[Código Indra]],1,13)</f>
        <v>0973525091800</v>
      </c>
      <c r="R22" s="63" t="s">
        <v>255</v>
      </c>
      <c r="S22" s="90" t="str">
        <f>IF(ISNA(VLOOKUP(Tabla1313[[#This Row],[Código Indra]],#REF!,1,FALSE)),"NO", "SI")</f>
        <v>SI</v>
      </c>
      <c r="T22" s="91"/>
      <c r="U22" t="s">
        <v>260</v>
      </c>
      <c r="V22" t="str">
        <f>VLOOKUP(Tabla1313[[#This Row],[Apoyo]],'LM SAP'!A:I,9,FALSE)</f>
        <v>RR</v>
      </c>
      <c r="W22" t="e">
        <f>VLOOKUP(Tabla1313[[#This Row],[Código Indra]],#REF!,1,FALSE)</f>
        <v>#REF!</v>
      </c>
    </row>
    <row r="23" spans="1:23" ht="60" x14ac:dyDescent="0.25">
      <c r="A23" s="94">
        <v>10</v>
      </c>
      <c r="B23" s="64" t="s">
        <v>297</v>
      </c>
      <c r="C23" s="75" t="s">
        <v>298</v>
      </c>
      <c r="D23" s="61" t="s">
        <v>131</v>
      </c>
      <c r="E23" s="75" t="s">
        <v>299</v>
      </c>
      <c r="F23" s="64">
        <v>1</v>
      </c>
      <c r="G23" s="61" t="s">
        <v>234</v>
      </c>
      <c r="H23" s="64"/>
      <c r="I23" s="61" t="s">
        <v>276</v>
      </c>
      <c r="J23" s="64">
        <v>24360001</v>
      </c>
      <c r="K23" s="184" t="s">
        <v>221</v>
      </c>
      <c r="L23" s="222">
        <v>60004380</v>
      </c>
      <c r="M23" s="223">
        <v>45546</v>
      </c>
      <c r="N23" s="223">
        <v>45561</v>
      </c>
      <c r="O23" s="188" t="s">
        <v>300</v>
      </c>
      <c r="P23" s="226" t="str">
        <f>IF(LEFT(B23,5)="09735",
    IF(ISNA(VLOOKUP(Tabla1313[[#This Row],[Apoyo]],'LM SAP'!A:G,1,FALSE)),
        "No Disponible",
        IF(VLOOKUP(Tabla1313[[#This Row],[Apoyo]],'LM SAP'!A:AD,9,FALSE)="RR",
            "Disponible",
            "Firmas SAP"
        )
    ),
    "CONSULTAR"
)</f>
        <v>Disponible</v>
      </c>
      <c r="Q23" s="165" t="str">
        <f>MID(Tabla1313[[#This Row],[Código Indra]],1,13)</f>
        <v>0973525092100</v>
      </c>
      <c r="R23" s="63" t="s">
        <v>255</v>
      </c>
      <c r="S23" s="166" t="str">
        <f>IF(ISNA(VLOOKUP(Tabla1313[[#This Row],[Código Indra]],#REF!,1,FALSE)),"NO", "SI")</f>
        <v>SI</v>
      </c>
      <c r="T23" s="8"/>
      <c r="U23" t="s">
        <v>255</v>
      </c>
      <c r="V23" t="str">
        <f>VLOOKUP(Tabla1313[[#This Row],[Apoyo]],'LM SAP'!A:I,9,FALSE)</f>
        <v>RR</v>
      </c>
      <c r="W23" t="e">
        <f>VLOOKUP(Tabla1313[[#This Row],[Código Indra]],#REF!,1,FALSE)</f>
        <v>#REF!</v>
      </c>
    </row>
    <row r="24" spans="1:23" ht="84" x14ac:dyDescent="0.25">
      <c r="A24" s="187">
        <v>11</v>
      </c>
      <c r="B24" s="93" t="s">
        <v>301</v>
      </c>
      <c r="C24" s="76" t="s">
        <v>302</v>
      </c>
      <c r="D24" s="64" t="s">
        <v>131</v>
      </c>
      <c r="E24" s="76" t="s">
        <v>303</v>
      </c>
      <c r="F24" s="64">
        <v>1</v>
      </c>
      <c r="G24" s="61" t="s">
        <v>234</v>
      </c>
      <c r="H24" s="64"/>
      <c r="I24" s="64" t="s">
        <v>276</v>
      </c>
      <c r="J24" s="64">
        <v>24360001</v>
      </c>
      <c r="K24" s="213" t="s">
        <v>252</v>
      </c>
      <c r="L24" s="214">
        <v>60004381</v>
      </c>
      <c r="M24" s="215">
        <v>45546</v>
      </c>
      <c r="N24" s="215">
        <v>45561</v>
      </c>
      <c r="O24" s="232" t="s">
        <v>304</v>
      </c>
      <c r="P24" s="220" t="str">
        <f>IF(LEFT(B24,5)="09735",
    IF(ISNA(VLOOKUP(Tabla1313[[#This Row],[Apoyo]],'LM SAP'!A:G,1,FALSE)),
        "No Disponible",
        IF(VLOOKUP(Tabla1313[[#This Row],[Apoyo]],'LM SAP'!A:AD,9,FALSE)="RR",
            "Disponible",
            "Firmas SAP"
        )
    ),
    "CONSULTAR"
)</f>
        <v>No Disponible</v>
      </c>
      <c r="Q24" s="63" t="str">
        <f>MID(Tabla1313[[#This Row],[Código Indra]],1,13)</f>
        <v>0973525092300</v>
      </c>
      <c r="R24" s="63" t="s">
        <v>255</v>
      </c>
      <c r="S24" s="90" t="str">
        <f>IF(ISNA(VLOOKUP(Tabla1313[[#This Row],[Código Indra]],#REF!,1,FALSE)),"NO", "SI")</f>
        <v>SI</v>
      </c>
      <c r="T24" s="91"/>
      <c r="U24" t="s">
        <v>255</v>
      </c>
      <c r="V24" t="e">
        <f>VLOOKUP(Tabla1313[[#This Row],[Apoyo]],'LM SAP'!A:I,9,FALSE)</f>
        <v>#N/A</v>
      </c>
      <c r="W24" t="e">
        <f>VLOOKUP(Tabla1313[[#This Row],[Código Indra]],#REF!,1,FALSE)</f>
        <v>#REF!</v>
      </c>
    </row>
    <row r="25" spans="1:23" ht="60" x14ac:dyDescent="0.25">
      <c r="A25" s="64">
        <v>12</v>
      </c>
      <c r="B25" s="93" t="s">
        <v>305</v>
      </c>
      <c r="C25" s="75" t="s">
        <v>306</v>
      </c>
      <c r="D25" s="61" t="s">
        <v>131</v>
      </c>
      <c r="E25" s="75" t="s">
        <v>307</v>
      </c>
      <c r="F25" s="64">
        <v>1</v>
      </c>
      <c r="G25" s="61" t="s">
        <v>234</v>
      </c>
      <c r="H25" s="61" t="s">
        <v>275</v>
      </c>
      <c r="I25" s="61" t="s">
        <v>276</v>
      </c>
      <c r="J25" s="64">
        <v>24360001</v>
      </c>
      <c r="K25" s="221" t="s">
        <v>220</v>
      </c>
      <c r="L25" s="222">
        <v>60004382</v>
      </c>
      <c r="M25" s="223">
        <v>45546</v>
      </c>
      <c r="N25" s="223">
        <v>45567</v>
      </c>
      <c r="O25" s="232" t="s">
        <v>308</v>
      </c>
      <c r="P25" s="220" t="str">
        <f>IF(LEFT(B25,5)="09735",
    IF(ISNA(VLOOKUP(Tabla1313[[#This Row],[Apoyo]],'LM SAP'!A:G,1,FALSE)),
        "No Disponible",
        IF(VLOOKUP(Tabla1313[[#This Row],[Apoyo]],'LM SAP'!A:AD,9,FALSE)="RR",
            "Disponible",
            "Firmas SAP"
        )
    ),
    "CONSULTAR"
)</f>
        <v>No Disponible</v>
      </c>
      <c r="Q25" s="63" t="str">
        <f>MID(Tabla1313[[#This Row],[Código Indra]],1,13)</f>
        <v>0973525092400</v>
      </c>
      <c r="R25" s="63" t="s">
        <v>255</v>
      </c>
      <c r="S25" s="90" t="str">
        <f>IF(ISNA(VLOOKUP(Tabla1313[[#This Row],[Código Indra]],#REF!,1,FALSE)),"NO", "SI")</f>
        <v>SI</v>
      </c>
      <c r="T25" s="91"/>
      <c r="U25" t="s">
        <v>255</v>
      </c>
      <c r="V25" t="e">
        <f>VLOOKUP(Tabla1313[[#This Row],[Apoyo]],'LM SAP'!A:I,9,FALSE)</f>
        <v>#N/A</v>
      </c>
      <c r="W25" t="e">
        <f>VLOOKUP(Tabla1313[[#This Row],[Código Indra]],#REF!,1,FALSE)</f>
        <v>#REF!</v>
      </c>
    </row>
    <row r="26" spans="1:23" ht="84" x14ac:dyDescent="0.25">
      <c r="A26" s="64">
        <v>13</v>
      </c>
      <c r="B26" s="94" t="s">
        <v>309</v>
      </c>
      <c r="C26" s="76" t="s">
        <v>310</v>
      </c>
      <c r="D26" s="64" t="s">
        <v>137</v>
      </c>
      <c r="E26" s="76" t="s">
        <v>311</v>
      </c>
      <c r="F26" s="64">
        <v>1</v>
      </c>
      <c r="G26" s="61" t="s">
        <v>234</v>
      </c>
      <c r="H26" s="64"/>
      <c r="I26" s="64" t="s">
        <v>276</v>
      </c>
      <c r="J26" s="64">
        <v>24360001</v>
      </c>
      <c r="K26" s="233" t="s">
        <v>252</v>
      </c>
      <c r="L26" s="222">
        <v>60004383</v>
      </c>
      <c r="M26" s="223">
        <v>45546</v>
      </c>
      <c r="N26" s="223">
        <v>45575</v>
      </c>
      <c r="O26" s="77" t="s">
        <v>312</v>
      </c>
      <c r="P26" s="220" t="str">
        <f>IF(LEFT(B26,5)="09735",
    IF(ISNA(VLOOKUP(Tabla1313[[#This Row],[Apoyo]],'LM SAP'!A:G,1,FALSE)),
        "No Disponible",
        IF(VLOOKUP(Tabla1313[[#This Row],[Apoyo]],'LM SAP'!A:AD,9,FALSE)="RR",
            "Disponible",
            "Firmas SAP"
        )
    ),
    "CONSULTAR"
)</f>
        <v>No Disponible</v>
      </c>
      <c r="Q26" s="63" t="str">
        <f>MID(Tabla1313[[#This Row],[Código Indra]],1,13)</f>
        <v>0973525100100</v>
      </c>
      <c r="R26" s="63" t="s">
        <v>255</v>
      </c>
      <c r="S26" s="90" t="str">
        <f>IF(ISNA(VLOOKUP(Tabla1313[[#This Row],[Código Indra]],#REF!,1,FALSE)),"NO", "SI")</f>
        <v>SI</v>
      </c>
      <c r="T26" s="91"/>
      <c r="U26" t="s">
        <v>255</v>
      </c>
      <c r="V26" t="e">
        <f>VLOOKUP(Tabla1313[[#This Row],[Apoyo]],'LM SAP'!A:I,9,FALSE)</f>
        <v>#N/A</v>
      </c>
      <c r="W26" t="e">
        <f>VLOOKUP(Tabla1313[[#This Row],[Código Indra]],#REF!,1,FALSE)</f>
        <v>#REF!</v>
      </c>
    </row>
    <row r="27" spans="1:23" ht="84" x14ac:dyDescent="0.25">
      <c r="A27" s="64">
        <v>14</v>
      </c>
      <c r="B27" s="93" t="s">
        <v>313</v>
      </c>
      <c r="C27" s="75" t="s">
        <v>314</v>
      </c>
      <c r="D27" s="61" t="s">
        <v>137</v>
      </c>
      <c r="E27" s="75" t="s">
        <v>315</v>
      </c>
      <c r="F27" s="64">
        <v>1</v>
      </c>
      <c r="G27" s="61" t="s">
        <v>234</v>
      </c>
      <c r="H27" s="64"/>
      <c r="I27" s="61" t="s">
        <v>276</v>
      </c>
      <c r="J27" s="64">
        <v>24360001</v>
      </c>
      <c r="K27" s="233" t="s">
        <v>252</v>
      </c>
      <c r="L27" s="222">
        <v>60004384</v>
      </c>
      <c r="M27" s="223">
        <v>45546</v>
      </c>
      <c r="N27" s="223">
        <v>45575</v>
      </c>
      <c r="O27" s="224" t="s">
        <v>316</v>
      </c>
      <c r="P27" s="220" t="str">
        <f>IF(LEFT(B27,5)="09735",
    IF(ISNA(VLOOKUP(Tabla1313[[#This Row],[Apoyo]],'LM SAP'!A:G,1,FALSE)),
        "No Disponible",
        IF(VLOOKUP(Tabla1313[[#This Row],[Apoyo]],'LM SAP'!A:AD,9,FALSE)="RR",
            "Disponible",
            "Firmas SAP"
        )
    ),
    "CONSULTAR"
)</f>
        <v>No Disponible</v>
      </c>
      <c r="Q27" s="63" t="str">
        <f>MID(Tabla1313[[#This Row],[Código Indra]],1,13)</f>
        <v>0973525100200</v>
      </c>
      <c r="R27" s="63" t="s">
        <v>255</v>
      </c>
      <c r="S27" s="90" t="str">
        <f>IF(ISNA(VLOOKUP(Tabla1313[[#This Row],[Código Indra]],#REF!,1,FALSE)),"NO", "SI")</f>
        <v>SI</v>
      </c>
      <c r="T27" s="91"/>
      <c r="U27" t="s">
        <v>255</v>
      </c>
      <c r="V27" t="e">
        <f>VLOOKUP(Tabla1313[[#This Row],[Apoyo]],'LM SAP'!A:I,9,FALSE)</f>
        <v>#N/A</v>
      </c>
      <c r="W27" t="e">
        <f>VLOOKUP(Tabla1313[[#This Row],[Código Indra]],#REF!,1,FALSE)</f>
        <v>#REF!</v>
      </c>
    </row>
    <row r="28" spans="1:23" ht="120" x14ac:dyDescent="0.25">
      <c r="A28" s="64">
        <v>15</v>
      </c>
      <c r="B28" s="93" t="s">
        <v>317</v>
      </c>
      <c r="C28" s="76" t="s">
        <v>318</v>
      </c>
      <c r="D28" s="64" t="s">
        <v>319</v>
      </c>
      <c r="E28" s="76" t="s">
        <v>320</v>
      </c>
      <c r="F28" s="64">
        <v>1</v>
      </c>
      <c r="G28" s="61" t="s">
        <v>234</v>
      </c>
      <c r="H28" s="64"/>
      <c r="I28" s="64" t="s">
        <v>321</v>
      </c>
      <c r="J28" s="64">
        <v>24390001</v>
      </c>
      <c r="K28" s="221" t="s">
        <v>219</v>
      </c>
      <c r="L28" s="214">
        <v>60004484</v>
      </c>
      <c r="M28" s="215">
        <v>45537</v>
      </c>
      <c r="N28" s="215">
        <v>45553</v>
      </c>
      <c r="O28" s="234" t="s">
        <v>322</v>
      </c>
      <c r="P28" s="220" t="str">
        <f>IF(LEFT(B28,5)="09735",
    IF(ISNA(VLOOKUP(Tabla1313[[#This Row],[Apoyo]],'LM SAP'!A:G,1,FALSE)),
        "No Disponible",
        IF(VLOOKUP(Tabla1313[[#This Row],[Apoyo]],'LM SAP'!A:AD,9,FALSE)="RR",
            "Disponible",
            "Firmas SAP"
        )
    ),
    "CONSULTAR"
)</f>
        <v>Disponible</v>
      </c>
      <c r="Q28" s="63" t="str">
        <f>MID(Tabla1313[[#This Row],[Código Indra]],1,13)</f>
        <v>0973525110100</v>
      </c>
      <c r="R28" s="63" t="s">
        <v>255</v>
      </c>
      <c r="S28" s="90" t="str">
        <f>IF(ISNA(VLOOKUP(Tabla1313[[#This Row],[Código Indra]],#REF!,1,FALSE)),"NO", "SI")</f>
        <v>SI</v>
      </c>
      <c r="T28" s="91"/>
      <c r="U28" t="s">
        <v>255</v>
      </c>
      <c r="V28" t="str">
        <f>VLOOKUP(Tabla1313[[#This Row],[Apoyo]],'LM SAP'!A:I,9,FALSE)</f>
        <v>RR</v>
      </c>
      <c r="W28" t="e">
        <f>VLOOKUP(Tabla1313[[#This Row],[Código Indra]],#REF!,1,FALSE)</f>
        <v>#REF!</v>
      </c>
    </row>
    <row r="29" spans="1:23" ht="144" x14ac:dyDescent="0.25">
      <c r="A29" s="64">
        <v>16</v>
      </c>
      <c r="B29" s="93" t="s">
        <v>323</v>
      </c>
      <c r="C29" s="75" t="s">
        <v>324</v>
      </c>
      <c r="D29" s="61" t="s">
        <v>319</v>
      </c>
      <c r="E29" s="75" t="s">
        <v>325</v>
      </c>
      <c r="F29" s="64">
        <v>1</v>
      </c>
      <c r="G29" s="61" t="s">
        <v>234</v>
      </c>
      <c r="H29" s="61" t="s">
        <v>275</v>
      </c>
      <c r="I29" s="61" t="s">
        <v>321</v>
      </c>
      <c r="J29" s="64">
        <v>24390001</v>
      </c>
      <c r="K29" s="221" t="s">
        <v>252</v>
      </c>
      <c r="L29" s="222">
        <v>60004487</v>
      </c>
      <c r="M29" s="223">
        <v>45537</v>
      </c>
      <c r="N29" s="223">
        <v>45554</v>
      </c>
      <c r="O29" s="224" t="s">
        <v>326</v>
      </c>
      <c r="P29" s="220" t="str">
        <f>IF(LEFT(B29,5)="09735",
    IF(ISNA(VLOOKUP(Tabla1313[[#This Row],[Apoyo]],'LM SAP'!A:G,1,FALSE)),
        "No Disponible",
        IF(VLOOKUP(Tabla1313[[#This Row],[Apoyo]],'LM SAP'!A:AD,9,FALSE)="RR",
            "Disponible",
            "Firmas SAP"
        )
    ),
    "CONSULTAR"
)</f>
        <v>Disponible</v>
      </c>
      <c r="Q29" s="63" t="str">
        <f>MID(Tabla1313[[#This Row],[Código Indra]],1,13)</f>
        <v>0973525110200</v>
      </c>
      <c r="R29" s="63" t="s">
        <v>255</v>
      </c>
      <c r="S29" s="90" t="str">
        <f>IF(ISNA(VLOOKUP(Tabla1313[[#This Row],[Código Indra]],#REF!,1,FALSE)),"NO", "SI")</f>
        <v>SI</v>
      </c>
      <c r="T29" s="91"/>
      <c r="U29" t="s">
        <v>255</v>
      </c>
      <c r="V29" t="str">
        <f>VLOOKUP(Tabla1313[[#This Row],[Apoyo]],'LM SAP'!A:I,9,FALSE)</f>
        <v>RR</v>
      </c>
      <c r="W29" t="e">
        <f>VLOOKUP(Tabla1313[[#This Row],[Código Indra]],#REF!,1,FALSE)</f>
        <v>#REF!</v>
      </c>
    </row>
    <row r="30" spans="1:23" ht="60" x14ac:dyDescent="0.25">
      <c r="A30" s="64">
        <v>17</v>
      </c>
      <c r="B30" s="93" t="s">
        <v>327</v>
      </c>
      <c r="C30" s="76" t="s">
        <v>328</v>
      </c>
      <c r="D30" s="64" t="s">
        <v>319</v>
      </c>
      <c r="E30" s="76" t="s">
        <v>329</v>
      </c>
      <c r="F30" s="64">
        <v>1</v>
      </c>
      <c r="G30" s="61" t="s">
        <v>234</v>
      </c>
      <c r="H30" s="64"/>
      <c r="I30" s="64" t="s">
        <v>321</v>
      </c>
      <c r="J30" s="64"/>
      <c r="K30" s="213" t="s">
        <v>220</v>
      </c>
      <c r="L30" s="214">
        <v>60004582</v>
      </c>
      <c r="M30" s="215">
        <v>45579</v>
      </c>
      <c r="N30" s="215">
        <v>45581</v>
      </c>
      <c r="O30" s="206" t="s">
        <v>330</v>
      </c>
      <c r="P30" s="220" t="str">
        <f>IF(LEFT(B30,5)="09735",
    IF(ISNA(VLOOKUP(Tabla1313[[#This Row],[Apoyo]],'LM SAP'!A:G,1,FALSE)),
        "No Disponible",
        IF(VLOOKUP(Tabla1313[[#This Row],[Apoyo]],'LM SAP'!A:AD,9,FALSE)="RR",
            "Disponible",
            "Firmas SAP"
        )
    ),
    "CONSULTAR"
)</f>
        <v>Disponible</v>
      </c>
      <c r="Q30" s="63" t="str">
        <f>MID(Tabla1313[[#This Row],[Código Indra]],1,13)</f>
        <v>0973525110300</v>
      </c>
      <c r="R30" s="63" t="s">
        <v>255</v>
      </c>
      <c r="S30" s="90" t="str">
        <f>IF(ISNA(VLOOKUP(Tabla1313[[#This Row],[Código Indra]],#REF!,1,FALSE)),"NO", "SI")</f>
        <v>SI</v>
      </c>
      <c r="T30" s="91"/>
      <c r="U30" t="s">
        <v>255</v>
      </c>
      <c r="V30" t="str">
        <f>VLOOKUP(Tabla1313[[#This Row],[Apoyo]],'LM SAP'!A:I,9,FALSE)</f>
        <v>RR</v>
      </c>
      <c r="W30" t="e">
        <f>VLOOKUP(Tabla1313[[#This Row],[Código Indra]],#REF!,1,FALSE)</f>
        <v>#REF!</v>
      </c>
    </row>
    <row r="31" spans="1:23" ht="60" x14ac:dyDescent="0.25">
      <c r="A31" s="94">
        <v>18</v>
      </c>
      <c r="B31" s="61" t="s">
        <v>331</v>
      </c>
      <c r="C31" s="75" t="s">
        <v>332</v>
      </c>
      <c r="D31" s="61" t="s">
        <v>319</v>
      </c>
      <c r="E31" s="75" t="s">
        <v>333</v>
      </c>
      <c r="F31" s="64">
        <v>1</v>
      </c>
      <c r="G31" s="61" t="s">
        <v>234</v>
      </c>
      <c r="H31" s="64"/>
      <c r="I31" s="61" t="s">
        <v>321</v>
      </c>
      <c r="J31" s="64"/>
      <c r="K31" s="184" t="s">
        <v>221</v>
      </c>
      <c r="L31" s="222">
        <v>60004565</v>
      </c>
      <c r="M31" s="223">
        <v>45573</v>
      </c>
      <c r="N31" s="223">
        <v>45595</v>
      </c>
      <c r="O31" s="167" t="s">
        <v>281</v>
      </c>
      <c r="P31" s="226" t="str">
        <f>IF(LEFT(B31,5)="09735",
    IF(ISNA(VLOOKUP(Tabla1313[[#This Row],[Apoyo]],'LM SAP'!A:G,1,FALSE)),
        "No Disponible",
        IF(VLOOKUP(Tabla1313[[#This Row],[Apoyo]],'LM SAP'!A:AD,9,FALSE)="RR",
            "Disponible",
            "Firmas SAP"
        )
    ),
    "CONSULTAR"
)</f>
        <v>No Disponible</v>
      </c>
      <c r="Q31" s="165" t="str">
        <f>MID(Tabla1313[[#This Row],[Código Indra]],1,13)</f>
        <v>0973525110400</v>
      </c>
      <c r="R31" s="63" t="s">
        <v>255</v>
      </c>
      <c r="S31" s="166" t="str">
        <f>IF(ISNA(VLOOKUP(Tabla1313[[#This Row],[Código Indra]],#REF!,1,FALSE)),"NO", "SI")</f>
        <v>SI</v>
      </c>
      <c r="T31" s="8"/>
      <c r="U31" t="s">
        <v>255</v>
      </c>
      <c r="V31" t="e">
        <f>VLOOKUP(Tabla1313[[#This Row],[Apoyo]],'LM SAP'!A:I,9,FALSE)</f>
        <v>#N/A</v>
      </c>
      <c r="W31" t="e">
        <f>VLOOKUP(Tabla1313[[#This Row],[Código Indra]],#REF!,1,FALSE)</f>
        <v>#REF!</v>
      </c>
    </row>
    <row r="32" spans="1:23" s="110" customFormat="1" ht="96" x14ac:dyDescent="0.25">
      <c r="A32" s="64">
        <v>19</v>
      </c>
      <c r="B32" s="94" t="s">
        <v>334</v>
      </c>
      <c r="C32" s="76" t="s">
        <v>335</v>
      </c>
      <c r="D32" s="64" t="s">
        <v>319</v>
      </c>
      <c r="E32" s="76" t="s">
        <v>336</v>
      </c>
      <c r="F32" s="64">
        <v>1</v>
      </c>
      <c r="G32" s="61" t="s">
        <v>234</v>
      </c>
      <c r="H32" s="64"/>
      <c r="I32" s="64" t="s">
        <v>321</v>
      </c>
      <c r="J32" s="64">
        <v>24380001</v>
      </c>
      <c r="K32" s="221" t="s">
        <v>219</v>
      </c>
      <c r="L32" s="222">
        <v>60004483</v>
      </c>
      <c r="M32" s="223">
        <v>45537</v>
      </c>
      <c r="N32" s="223">
        <v>45553</v>
      </c>
      <c r="O32" s="235" t="s">
        <v>337</v>
      </c>
      <c r="P32" s="220" t="str">
        <f>IF(LEFT(B32,5)="09735",
    IF(ISNA(VLOOKUP(Tabla1313[[#This Row],[Apoyo]],'LM SAP'!A:G,1,FALSE)),
        "No Disponible",
        IF(VLOOKUP(Tabla1313[[#This Row],[Apoyo]],'LM SAP'!A:AD,9,FALSE)="RR",
            "Disponible",
            "Firmas SAP"
        )
    ),
    "CONSULTAR"
)</f>
        <v>No Disponible</v>
      </c>
      <c r="Q32" s="63" t="str">
        <f>MID(Tabla1313[[#This Row],[Código Indra]],1,13)</f>
        <v>0973525110500</v>
      </c>
      <c r="R32" s="63" t="s">
        <v>255</v>
      </c>
      <c r="S32" s="90" t="str">
        <f>IF(ISNA(VLOOKUP(Tabla1313[[#This Row],[Código Indra]],#REF!,1,FALSE)),"NO", "SI")</f>
        <v>SI</v>
      </c>
      <c r="T32" s="91"/>
      <c r="U32" t="s">
        <v>255</v>
      </c>
      <c r="V32" s="110" t="e">
        <f>VLOOKUP(Tabla1313[[#This Row],[Apoyo]],'LM SAP'!A:I,9,FALSE)</f>
        <v>#N/A</v>
      </c>
      <c r="W32" s="110" t="e">
        <f>VLOOKUP(Tabla1313[[#This Row],[Código Indra]],#REF!,1,FALSE)</f>
        <v>#REF!</v>
      </c>
    </row>
    <row r="33" spans="1:23" ht="45" x14ac:dyDescent="0.25">
      <c r="A33" s="94">
        <v>20</v>
      </c>
      <c r="B33" s="61" t="s">
        <v>338</v>
      </c>
      <c r="C33" s="75" t="s">
        <v>339</v>
      </c>
      <c r="D33" s="61" t="s">
        <v>319</v>
      </c>
      <c r="E33" s="75" t="s">
        <v>340</v>
      </c>
      <c r="F33" s="64">
        <v>1</v>
      </c>
      <c r="G33" s="61" t="s">
        <v>234</v>
      </c>
      <c r="H33" s="64"/>
      <c r="I33" s="61" t="s">
        <v>321</v>
      </c>
      <c r="J33" s="64"/>
      <c r="K33" s="184" t="s">
        <v>221</v>
      </c>
      <c r="L33" s="222">
        <v>60004722</v>
      </c>
      <c r="M33" s="223">
        <v>45593</v>
      </c>
      <c r="N33" s="223">
        <v>45610</v>
      </c>
      <c r="O33" s="236" t="s">
        <v>341</v>
      </c>
      <c r="P33" s="226" t="str">
        <f>IF(LEFT(B33,5)="09735",
    IF(ISNA(VLOOKUP(Tabla1313[[#This Row],[Apoyo]],'LM SAP'!A:G,1,FALSE)),
        "No Disponible",
        IF(VLOOKUP(Tabla1313[[#This Row],[Apoyo]],'LM SAP'!A:AD,9,FALSE)="RR",
            "Disponible",
            "Firmas SAP"
        )
    ),
    "CONSULTAR"
)</f>
        <v>No Disponible</v>
      </c>
      <c r="Q33" s="165" t="str">
        <f>MID(Tabla1313[[#This Row],[Código Indra]],1,13)</f>
        <v>0973525110600</v>
      </c>
      <c r="R33" s="63" t="s">
        <v>255</v>
      </c>
      <c r="S33" s="166" t="str">
        <f>IF(ISNA(VLOOKUP(Tabla1313[[#This Row],[Código Indra]],#REF!,1,FALSE)),"NO", "SI")</f>
        <v>SI</v>
      </c>
      <c r="T33" s="8"/>
      <c r="U33" t="s">
        <v>255</v>
      </c>
      <c r="V33" t="e">
        <f>VLOOKUP(Tabla1313[[#This Row],[Apoyo]],'LM SAP'!A:I,9,FALSE)</f>
        <v>#N/A</v>
      </c>
      <c r="W33" t="e">
        <f>VLOOKUP(Tabla1313[[#This Row],[Código Indra]],#REF!,1,FALSE)</f>
        <v>#REF!</v>
      </c>
    </row>
    <row r="34" spans="1:23" ht="72" x14ac:dyDescent="0.25">
      <c r="A34" s="64">
        <v>21</v>
      </c>
      <c r="B34" s="93" t="s">
        <v>342</v>
      </c>
      <c r="C34" s="76" t="s">
        <v>343</v>
      </c>
      <c r="D34" s="64" t="s">
        <v>319</v>
      </c>
      <c r="E34" s="76" t="s">
        <v>344</v>
      </c>
      <c r="F34" s="64">
        <v>1</v>
      </c>
      <c r="G34" s="61" t="s">
        <v>234</v>
      </c>
      <c r="H34" s="64"/>
      <c r="I34" s="64" t="s">
        <v>321</v>
      </c>
      <c r="J34" s="64">
        <v>24390001</v>
      </c>
      <c r="K34" s="221" t="s">
        <v>219</v>
      </c>
      <c r="L34" s="222">
        <v>60004486</v>
      </c>
      <c r="M34" s="223">
        <v>45537</v>
      </c>
      <c r="N34" s="223">
        <v>45553</v>
      </c>
      <c r="O34" s="77" t="s">
        <v>345</v>
      </c>
      <c r="P34" s="220" t="str">
        <f>IF(LEFT(B34,5)="09735",
    IF(ISNA(VLOOKUP(Tabla1313[[#This Row],[Apoyo]],'LM SAP'!A:G,1,FALSE)),
        "No Disponible",
        IF(VLOOKUP(Tabla1313[[#This Row],[Apoyo]],'LM SAP'!A:AD,9,FALSE)="RR",
            "Disponible",
            "Firmas SAP"
        )
    ),
    "CONSULTAR"
)</f>
        <v>No Disponible</v>
      </c>
      <c r="Q34" s="63" t="str">
        <f>MID(Tabla1313[[#This Row],[Código Indra]],1,13)</f>
        <v>0973525110700</v>
      </c>
      <c r="R34" s="63" t="s">
        <v>255</v>
      </c>
      <c r="S34" s="90" t="str">
        <f>IF(ISNA(VLOOKUP(Tabla1313[[#This Row],[Código Indra]],#REF!,1,FALSE)),"NO", "SI")</f>
        <v>SI</v>
      </c>
      <c r="T34" s="91"/>
      <c r="U34" t="s">
        <v>255</v>
      </c>
      <c r="V34" t="e">
        <f>VLOOKUP(Tabla1313[[#This Row],[Apoyo]],'LM SAP'!A:I,9,FALSE)</f>
        <v>#N/A</v>
      </c>
      <c r="W34" t="e">
        <f>VLOOKUP(Tabla1313[[#This Row],[Código Indra]],#REF!,1,FALSE)</f>
        <v>#REF!</v>
      </c>
    </row>
    <row r="35" spans="1:23" ht="60" x14ac:dyDescent="0.25">
      <c r="A35" s="64">
        <v>22</v>
      </c>
      <c r="B35" s="94" t="s">
        <v>346</v>
      </c>
      <c r="C35" s="75" t="s">
        <v>347</v>
      </c>
      <c r="D35" s="61" t="s">
        <v>319</v>
      </c>
      <c r="E35" s="75" t="s">
        <v>348</v>
      </c>
      <c r="F35" s="64">
        <v>1</v>
      </c>
      <c r="G35" s="61" t="s">
        <v>234</v>
      </c>
      <c r="H35" s="64"/>
      <c r="I35" s="61" t="s">
        <v>321</v>
      </c>
      <c r="J35" s="64">
        <v>24400001</v>
      </c>
      <c r="K35" s="213" t="s">
        <v>252</v>
      </c>
      <c r="L35" s="190">
        <v>60004499</v>
      </c>
      <c r="M35" s="215">
        <v>45573</v>
      </c>
      <c r="N35" s="215">
        <v>45574</v>
      </c>
      <c r="O35" s="119" t="s">
        <v>349</v>
      </c>
      <c r="P35" s="220" t="str">
        <f>IF(LEFT(B35,5)="09735",
    IF(ISNA(VLOOKUP(Tabla1313[[#This Row],[Apoyo]],'LM SAP'!A:G,1,FALSE)),
        "No Disponible",
        IF(VLOOKUP(Tabla1313[[#This Row],[Apoyo]],'LM SAP'!A:AD,9,FALSE)="RR",
            "Disponible",
            "Firmas SAP"
        )
    ),
    "CONSULTAR"
)</f>
        <v>No Disponible</v>
      </c>
      <c r="Q35" s="63" t="str">
        <f>MID(Tabla1313[[#This Row],[Código Indra]],1,13)</f>
        <v>0973525110800</v>
      </c>
      <c r="R35" s="63" t="s">
        <v>255</v>
      </c>
      <c r="S35" s="90" t="str">
        <f>IF(ISNA(VLOOKUP(Tabla1313[[#This Row],[Código Indra]],#REF!,1,FALSE)),"NO", "SI")</f>
        <v>SI</v>
      </c>
      <c r="T35" s="91"/>
      <c r="U35" t="s">
        <v>255</v>
      </c>
      <c r="V35" t="e">
        <f>VLOOKUP(Tabla1313[[#This Row],[Apoyo]],'LM SAP'!A:I,9,FALSE)</f>
        <v>#N/A</v>
      </c>
      <c r="W35" t="e">
        <f>VLOOKUP(Tabla1313[[#This Row],[Código Indra]],#REF!,1,FALSE)</f>
        <v>#REF!</v>
      </c>
    </row>
    <row r="36" spans="1:23" ht="60" x14ac:dyDescent="0.25">
      <c r="A36" s="187">
        <v>23</v>
      </c>
      <c r="B36" s="93" t="s">
        <v>350</v>
      </c>
      <c r="C36" s="76" t="s">
        <v>351</v>
      </c>
      <c r="D36" s="64" t="s">
        <v>319</v>
      </c>
      <c r="E36" s="76" t="s">
        <v>352</v>
      </c>
      <c r="F36" s="64">
        <v>1</v>
      </c>
      <c r="G36" s="61" t="s">
        <v>234</v>
      </c>
      <c r="H36" s="64"/>
      <c r="I36" s="64" t="s">
        <v>321</v>
      </c>
      <c r="J36" s="64">
        <v>24390001</v>
      </c>
      <c r="K36" s="221" t="s">
        <v>219</v>
      </c>
      <c r="L36" s="214">
        <v>60004485</v>
      </c>
      <c r="M36" s="215">
        <v>45537</v>
      </c>
      <c r="N36" s="215">
        <v>45553</v>
      </c>
      <c r="O36" s="77" t="s">
        <v>353</v>
      </c>
      <c r="P36" s="220" t="str">
        <f>IF(LEFT(B36,5)="09735",
    IF(ISNA(VLOOKUP(Tabla1313[[#This Row],[Apoyo]],'LM SAP'!A:G,1,FALSE)),
        "No Disponible",
        IF(VLOOKUP(Tabla1313[[#This Row],[Apoyo]],'LM SAP'!A:AD,9,FALSE)="RR",
            "Disponible",
            "Firmas SAP"
        )
    ),
    "CONSULTAR"
)</f>
        <v>No Disponible</v>
      </c>
      <c r="Q36" s="63" t="str">
        <f>MID(Tabla1313[[#This Row],[Código Indra]],1,13)</f>
        <v>0973525110900</v>
      </c>
      <c r="R36" s="63" t="s">
        <v>255</v>
      </c>
      <c r="S36" s="90" t="str">
        <f>IF(ISNA(VLOOKUP(Tabla1313[[#This Row],[Código Indra]],#REF!,1,FALSE)),"NO", "SI")</f>
        <v>SI</v>
      </c>
      <c r="T36" s="91"/>
      <c r="U36" t="s">
        <v>255</v>
      </c>
      <c r="V36" t="e">
        <f>VLOOKUP(Tabla1313[[#This Row],[Apoyo]],'LM SAP'!A:I,9,FALSE)</f>
        <v>#N/A</v>
      </c>
      <c r="W36" t="e">
        <f>VLOOKUP(Tabla1313[[#This Row],[Código Indra]],#REF!,1,FALSE)</f>
        <v>#REF!</v>
      </c>
    </row>
    <row r="37" spans="1:23" ht="48" x14ac:dyDescent="0.25">
      <c r="A37" s="94">
        <v>24</v>
      </c>
      <c r="B37" s="61" t="s">
        <v>354</v>
      </c>
      <c r="C37" s="75" t="s">
        <v>355</v>
      </c>
      <c r="D37" s="61" t="s">
        <v>319</v>
      </c>
      <c r="E37" s="75" t="s">
        <v>356</v>
      </c>
      <c r="F37" s="64">
        <v>1</v>
      </c>
      <c r="G37" s="61" t="s">
        <v>234</v>
      </c>
      <c r="H37" s="64"/>
      <c r="I37" s="61" t="s">
        <v>276</v>
      </c>
      <c r="J37" s="64">
        <v>24390001</v>
      </c>
      <c r="K37" s="184" t="s">
        <v>221</v>
      </c>
      <c r="L37" s="222">
        <v>60004488</v>
      </c>
      <c r="M37" s="223">
        <v>45552</v>
      </c>
      <c r="N37" s="223">
        <v>45561</v>
      </c>
      <c r="O37" s="164" t="s">
        <v>357</v>
      </c>
      <c r="P37" s="226" t="str">
        <f>IF(LEFT(B37,5)="09735",
    IF(ISNA(VLOOKUP(Tabla1313[[#This Row],[Apoyo]],'LM SAP'!A:G,1,FALSE)),
        "No Disponible",
        IF(VLOOKUP(Tabla1313[[#This Row],[Apoyo]],'LM SAP'!A:AD,9,FALSE)="RR",
            "Disponible",
            "Firmas SAP"
        )
    ),
    "CONSULTAR"
)</f>
        <v>No Disponible</v>
      </c>
      <c r="Q37" s="165" t="str">
        <f>MID(Tabla1313[[#This Row],[Código Indra]],1,13)</f>
        <v>0973525111000</v>
      </c>
      <c r="R37" s="63" t="s">
        <v>255</v>
      </c>
      <c r="S37" s="166" t="str">
        <f>IF(ISNA(VLOOKUP(Tabla1313[[#This Row],[Código Indra]],#REF!,1,FALSE)),"NO", "SI")</f>
        <v>SI</v>
      </c>
      <c r="T37" s="8"/>
      <c r="U37" t="s">
        <v>255</v>
      </c>
      <c r="V37" t="e">
        <f>VLOOKUP(Tabla1313[[#This Row],[Apoyo]],'LM SAP'!A:I,9,FALSE)</f>
        <v>#N/A</v>
      </c>
      <c r="W37" t="e">
        <f>VLOOKUP(Tabla1313[[#This Row],[Código Indra]],#REF!,1,FALSE)</f>
        <v>#REF!</v>
      </c>
    </row>
    <row r="38" spans="1:23" ht="60" x14ac:dyDescent="0.25">
      <c r="A38" s="64">
        <v>25</v>
      </c>
      <c r="B38" s="64" t="s">
        <v>358</v>
      </c>
      <c r="C38" s="76" t="s">
        <v>359</v>
      </c>
      <c r="D38" s="64" t="s">
        <v>319</v>
      </c>
      <c r="E38" s="76" t="s">
        <v>360</v>
      </c>
      <c r="F38" s="64">
        <v>1</v>
      </c>
      <c r="G38" s="61" t="s">
        <v>260</v>
      </c>
      <c r="H38" s="61" t="s">
        <v>261</v>
      </c>
      <c r="I38" s="64" t="s">
        <v>321</v>
      </c>
      <c r="J38" s="64"/>
      <c r="K38" s="213" t="s">
        <v>212</v>
      </c>
      <c r="L38" s="191"/>
      <c r="M38" s="192"/>
      <c r="N38" s="192"/>
      <c r="O38" s="207" t="s">
        <v>361</v>
      </c>
      <c r="P38" s="220" t="str">
        <f>IF(LEFT(B38,5)="09735",
    IF(ISNA(VLOOKUP(Tabla1313[[#This Row],[Apoyo]],'LM SAP'!A:G,1,FALSE)),
        "No Disponible",
        IF(VLOOKUP(Tabla1313[[#This Row],[Apoyo]],'LM SAP'!A:AD,9,FALSE)="RR",
            "Disponible",
            "Firmas SAP"
        )
    ),
    "CONSULTAR"
)</f>
        <v>No Disponible</v>
      </c>
      <c r="Q38" s="63" t="str">
        <f>MID(Tabla1313[[#This Row],[Código Indra]],1,13)</f>
        <v>0973525111100</v>
      </c>
      <c r="R38" s="63" t="s">
        <v>255</v>
      </c>
      <c r="S38" s="90" t="str">
        <f>IF(ISNA(VLOOKUP(Tabla1313[[#This Row],[Código Indra]],#REF!,1,FALSE)),"NO", "SI")</f>
        <v>SI</v>
      </c>
      <c r="T38" s="91"/>
      <c r="U38" t="s">
        <v>260</v>
      </c>
      <c r="V38" t="e">
        <f>VLOOKUP(Tabla1313[[#This Row],[Apoyo]],'LM SAP'!A:I,9,FALSE)</f>
        <v>#N/A</v>
      </c>
      <c r="W38" t="e">
        <f>VLOOKUP(Tabla1313[[#This Row],[Código Indra]],#REF!,1,FALSE)</f>
        <v>#REF!</v>
      </c>
    </row>
    <row r="39" spans="1:23" ht="120" customHeight="1" x14ac:dyDescent="0.25">
      <c r="A39" s="64">
        <v>26</v>
      </c>
      <c r="B39" s="93" t="s">
        <v>362</v>
      </c>
      <c r="C39" s="75" t="s">
        <v>363</v>
      </c>
      <c r="D39" s="61" t="s">
        <v>319</v>
      </c>
      <c r="E39" s="75" t="s">
        <v>364</v>
      </c>
      <c r="F39" s="64">
        <v>1</v>
      </c>
      <c r="G39" s="61" t="s">
        <v>260</v>
      </c>
      <c r="H39" s="61" t="s">
        <v>261</v>
      </c>
      <c r="I39" s="61" t="s">
        <v>321</v>
      </c>
      <c r="J39" s="64">
        <v>24390001</v>
      </c>
      <c r="K39" s="237" t="s">
        <v>216</v>
      </c>
      <c r="L39" s="222">
        <v>60004489</v>
      </c>
      <c r="M39" s="223">
        <v>45537</v>
      </c>
      <c r="N39" s="223"/>
      <c r="O39" s="238" t="s">
        <v>365</v>
      </c>
      <c r="P39" s="220" t="str">
        <f>IF(LEFT(B39,5)="09735",
    IF(ISNA(VLOOKUP(Tabla1313[[#This Row],[Apoyo]],'LM SAP'!A:G,1,FALSE)),
        "No Disponible",
        IF(VLOOKUP(Tabla1313[[#This Row],[Apoyo]],'LM SAP'!A:AD,9,FALSE)="RR",
            "Disponible",
            "Firmas SAP"
        )
    ),
    "CONSULTAR"
)</f>
        <v>No Disponible</v>
      </c>
      <c r="Q39" s="63" t="str">
        <f>MID(Tabla1313[[#This Row],[Código Indra]],1,13)</f>
        <v>0973525111200</v>
      </c>
      <c r="R39" s="63" t="s">
        <v>255</v>
      </c>
      <c r="S39" s="90" t="str">
        <f>IF(ISNA(VLOOKUP(Tabla1313[[#This Row],[Código Indra]],#REF!,1,FALSE)),"NO", "SI")</f>
        <v>SI</v>
      </c>
      <c r="T39" s="91"/>
      <c r="U39" t="s">
        <v>260</v>
      </c>
      <c r="V39" t="e">
        <f>VLOOKUP(Tabla1313[[#This Row],[Apoyo]],'LM SAP'!A:I,9,FALSE)</f>
        <v>#N/A</v>
      </c>
      <c r="W39" t="e">
        <f>VLOOKUP(Tabla1313[[#This Row],[Código Indra]],#REF!,1,FALSE)</f>
        <v>#REF!</v>
      </c>
    </row>
    <row r="40" spans="1:23" ht="108" x14ac:dyDescent="0.25">
      <c r="A40" s="64">
        <v>27</v>
      </c>
      <c r="B40" s="93" t="s">
        <v>366</v>
      </c>
      <c r="C40" s="75" t="s">
        <v>367</v>
      </c>
      <c r="D40" s="64" t="s">
        <v>319</v>
      </c>
      <c r="E40" s="76" t="s">
        <v>368</v>
      </c>
      <c r="F40" s="64">
        <v>1</v>
      </c>
      <c r="G40" s="61" t="s">
        <v>260</v>
      </c>
      <c r="H40" s="61" t="s">
        <v>261</v>
      </c>
      <c r="I40" s="64" t="s">
        <v>321</v>
      </c>
      <c r="J40" s="64"/>
      <c r="K40" s="213" t="s">
        <v>252</v>
      </c>
      <c r="L40" s="214">
        <v>60004583</v>
      </c>
      <c r="M40" s="215">
        <v>45579</v>
      </c>
      <c r="N40" s="215">
        <v>45583</v>
      </c>
      <c r="O40" s="219" t="s">
        <v>369</v>
      </c>
      <c r="P40" s="220" t="str">
        <f>IF(LEFT(B40,5)="09735",
    IF(ISNA(VLOOKUP(Tabla1313[[#This Row],[Apoyo]],'LM SAP'!A:G,1,FALSE)),
        "No Disponible",
        IF(VLOOKUP(Tabla1313[[#This Row],[Apoyo]],'LM SAP'!A:AD,9,FALSE)="RR",
            "Disponible",
            "Firmas SAP"
        )
    ),
    "CONSULTAR"
)</f>
        <v>No Disponible</v>
      </c>
      <c r="Q40" s="63" t="str">
        <f>MID(Tabla1313[[#This Row],[Código Indra]],1,13)</f>
        <v>0973525111500</v>
      </c>
      <c r="R40" s="63" t="s">
        <v>255</v>
      </c>
      <c r="S40" s="90" t="str">
        <f>IF(ISNA(VLOOKUP(Tabla1313[[#This Row],[Código Indra]],#REF!,1,FALSE)),"NO", "SI")</f>
        <v>SI</v>
      </c>
      <c r="T40" s="91"/>
      <c r="U40" t="s">
        <v>260</v>
      </c>
      <c r="V40" t="e">
        <f>VLOOKUP(Tabla1313[[#This Row],[Apoyo]],'LM SAP'!A:I,9,FALSE)</f>
        <v>#N/A</v>
      </c>
      <c r="W40" t="e">
        <f>VLOOKUP(Tabla1313[[#This Row],[Código Indra]],#REF!,1,FALSE)</f>
        <v>#REF!</v>
      </c>
    </row>
    <row r="41" spans="1:23" ht="108" x14ac:dyDescent="0.25">
      <c r="A41" s="64">
        <v>28</v>
      </c>
      <c r="B41" s="93" t="s">
        <v>370</v>
      </c>
      <c r="C41" s="75" t="s">
        <v>371</v>
      </c>
      <c r="D41" s="61" t="s">
        <v>319</v>
      </c>
      <c r="E41" s="75" t="s">
        <v>372</v>
      </c>
      <c r="F41" s="64">
        <v>1</v>
      </c>
      <c r="G41" s="61" t="s">
        <v>260</v>
      </c>
      <c r="H41" s="61" t="s">
        <v>261</v>
      </c>
      <c r="I41" s="61" t="s">
        <v>321</v>
      </c>
      <c r="J41" s="64"/>
      <c r="K41" s="213" t="s">
        <v>252</v>
      </c>
      <c r="L41" s="214">
        <v>60004584</v>
      </c>
      <c r="M41" s="215">
        <v>45579</v>
      </c>
      <c r="N41" s="215">
        <v>45583</v>
      </c>
      <c r="O41" s="234" t="s">
        <v>373</v>
      </c>
      <c r="P41" s="220" t="str">
        <f>IF(LEFT(B41,5)="09735",
    IF(ISNA(VLOOKUP(Tabla1313[[#This Row],[Apoyo]],'LM SAP'!A:G,1,FALSE)),
        "No Disponible",
        IF(VLOOKUP(Tabla1313[[#This Row],[Apoyo]],'LM SAP'!A:AD,9,FALSE)="RR",
            "Disponible",
            "Firmas SAP"
        )
    ),
    "CONSULTAR"
)</f>
        <v>No Disponible</v>
      </c>
      <c r="Q41" s="63" t="str">
        <f>MID(Tabla1313[[#This Row],[Código Indra]],1,13)</f>
        <v>0973525111600</v>
      </c>
      <c r="R41" s="63" t="s">
        <v>255</v>
      </c>
      <c r="S41" s="90" t="str">
        <f>IF(ISNA(VLOOKUP(Tabla1313[[#This Row],[Código Indra]],#REF!,1,FALSE)),"NO", "SI")</f>
        <v>SI</v>
      </c>
      <c r="T41" s="91"/>
      <c r="U41" t="s">
        <v>260</v>
      </c>
      <c r="V41" t="e">
        <f>VLOOKUP(Tabla1313[[#This Row],[Apoyo]],'LM SAP'!A:I,9,FALSE)</f>
        <v>#N/A</v>
      </c>
      <c r="W41" t="e">
        <f>VLOOKUP(Tabla1313[[#This Row],[Código Indra]],#REF!,1,FALSE)</f>
        <v>#REF!</v>
      </c>
    </row>
    <row r="42" spans="1:23" ht="60" x14ac:dyDescent="0.25">
      <c r="A42" s="94">
        <v>29</v>
      </c>
      <c r="B42" s="61" t="s">
        <v>374</v>
      </c>
      <c r="C42" s="76" t="s">
        <v>375</v>
      </c>
      <c r="D42" s="64" t="s">
        <v>319</v>
      </c>
      <c r="E42" s="76" t="s">
        <v>376</v>
      </c>
      <c r="F42" s="64">
        <v>1</v>
      </c>
      <c r="G42" s="61" t="s">
        <v>260</v>
      </c>
      <c r="H42" s="61" t="s">
        <v>261</v>
      </c>
      <c r="I42" s="64" t="s">
        <v>321</v>
      </c>
      <c r="J42" s="64"/>
      <c r="K42" s="184" t="s">
        <v>221</v>
      </c>
      <c r="L42" s="222">
        <v>60004566</v>
      </c>
      <c r="M42" s="223">
        <v>45573</v>
      </c>
      <c r="N42" s="223">
        <v>45581</v>
      </c>
      <c r="O42" s="188" t="s">
        <v>377</v>
      </c>
      <c r="P42" s="226" t="str">
        <f>IF(LEFT(B42,5)="09735",
    IF(ISNA(VLOOKUP(Tabla1313[[#This Row],[Apoyo]],'LM SAP'!A:G,1,FALSE)),
        "No Disponible",
        IF(VLOOKUP(Tabla1313[[#This Row],[Apoyo]],'LM SAP'!A:AD,9,FALSE)="RR",
            "Disponible",
            "Firmas SAP"
        )
    ),
    "CONSULTAR"
)</f>
        <v>No Disponible</v>
      </c>
      <c r="Q42" s="165" t="str">
        <f>MID(Tabla1313[[#This Row],[Código Indra]],1,13)</f>
        <v>0973525111700</v>
      </c>
      <c r="R42" s="63" t="s">
        <v>255</v>
      </c>
      <c r="S42" s="166" t="str">
        <f>IF(ISNA(VLOOKUP(Tabla1313[[#This Row],[Código Indra]],#REF!,1,FALSE)),"NO", "SI")</f>
        <v>SI</v>
      </c>
      <c r="T42" s="8"/>
      <c r="U42" t="s">
        <v>260</v>
      </c>
      <c r="V42" t="e">
        <f>VLOOKUP(Tabla1313[[#This Row],[Apoyo]],'LM SAP'!A:I,9,FALSE)</f>
        <v>#N/A</v>
      </c>
      <c r="W42" t="e">
        <f>VLOOKUP(Tabla1313[[#This Row],[Código Indra]],#REF!,1,FALSE)</f>
        <v>#REF!</v>
      </c>
    </row>
    <row r="43" spans="1:23" ht="60" x14ac:dyDescent="0.25">
      <c r="A43" s="94">
        <v>30</v>
      </c>
      <c r="B43" s="61" t="s">
        <v>378</v>
      </c>
      <c r="C43" s="75" t="s">
        <v>379</v>
      </c>
      <c r="D43" s="61" t="s">
        <v>319</v>
      </c>
      <c r="E43" s="75" t="s">
        <v>380</v>
      </c>
      <c r="F43" s="64">
        <v>1</v>
      </c>
      <c r="G43" s="61" t="s">
        <v>234</v>
      </c>
      <c r="H43" s="64"/>
      <c r="I43" s="61" t="s">
        <v>321</v>
      </c>
      <c r="J43" s="64"/>
      <c r="K43" s="184" t="s">
        <v>221</v>
      </c>
      <c r="L43" s="222">
        <v>60004555</v>
      </c>
      <c r="M43" s="223">
        <v>45572</v>
      </c>
      <c r="N43" s="223">
        <v>45593</v>
      </c>
      <c r="O43" s="168" t="s">
        <v>300</v>
      </c>
      <c r="P43" s="226" t="str">
        <f>IF(LEFT(B43,5)="09735",
    IF(ISNA(VLOOKUP(Tabla1313[[#This Row],[Apoyo]],'LM SAP'!A:G,1,FALSE)),
        "No Disponible",
        IF(VLOOKUP(Tabla1313[[#This Row],[Apoyo]],'LM SAP'!A:AD,9,FALSE)="RR",
            "Disponible",
            "Firmas SAP"
        )
    ),
    "CONSULTAR"
)</f>
        <v>No Disponible</v>
      </c>
      <c r="Q43" s="165" t="str">
        <f>MID(Tabla1313[[#This Row],[Código Indra]],1,13)</f>
        <v>0973525112000</v>
      </c>
      <c r="R43" s="63" t="s">
        <v>255</v>
      </c>
      <c r="S43" s="166" t="str">
        <f>IF(ISNA(VLOOKUP(Tabla1313[[#This Row],[Código Indra]],#REF!,1,FALSE)),"NO", "SI")</f>
        <v>SI</v>
      </c>
      <c r="T43" s="8"/>
      <c r="U43" t="s">
        <v>255</v>
      </c>
      <c r="V43" t="e">
        <f>VLOOKUP(Tabla1313[[#This Row],[Apoyo]],'LM SAP'!A:I,9,FALSE)</f>
        <v>#N/A</v>
      </c>
      <c r="W43" t="e">
        <f>VLOOKUP(Tabla1313[[#This Row],[Código Indra]],#REF!,1,FALSE)</f>
        <v>#REF!</v>
      </c>
    </row>
    <row r="44" spans="1:23" ht="45" x14ac:dyDescent="0.25">
      <c r="A44" s="64">
        <v>31</v>
      </c>
      <c r="B44" s="94" t="s">
        <v>381</v>
      </c>
      <c r="C44" s="76" t="s">
        <v>382</v>
      </c>
      <c r="D44" s="64" t="s">
        <v>319</v>
      </c>
      <c r="E44" s="117" t="s">
        <v>383</v>
      </c>
      <c r="F44" s="64">
        <v>1</v>
      </c>
      <c r="G44" s="61" t="s">
        <v>260</v>
      </c>
      <c r="H44" s="61" t="s">
        <v>261</v>
      </c>
      <c r="I44" s="64" t="s">
        <v>321</v>
      </c>
      <c r="J44" s="64">
        <v>24390001</v>
      </c>
      <c r="K44" s="233" t="s">
        <v>216</v>
      </c>
      <c r="L44" s="222">
        <v>60004532</v>
      </c>
      <c r="M44" s="223">
        <v>45568</v>
      </c>
      <c r="N44" s="223"/>
      <c r="O44" s="239" t="s">
        <v>384</v>
      </c>
      <c r="P44" s="220" t="str">
        <f>IF(LEFT(B44,5)="09735",
    IF(ISNA(VLOOKUP(Tabla1313[[#This Row],[Apoyo]],'LM SAP'!A:G,1,FALSE)),
        "No Disponible",
        IF(VLOOKUP(Tabla1313[[#This Row],[Apoyo]],'LM SAP'!A:AD,9,FALSE)="RR",
            "Disponible",
            "Firmas SAP"
        )
    ),
    "CONSULTAR"
)</f>
        <v>No Disponible</v>
      </c>
      <c r="Q44" s="63" t="str">
        <f>MID(Tabla1313[[#This Row],[Código Indra]],1,13)</f>
        <v>0973525112300</v>
      </c>
      <c r="R44" s="63" t="s">
        <v>255</v>
      </c>
      <c r="S44" s="90" t="str">
        <f>IF(ISNA(VLOOKUP(Tabla1313[[#This Row],[Código Indra]],#REF!,1,FALSE)),"NO", "SI")</f>
        <v>SI</v>
      </c>
      <c r="T44" s="91"/>
      <c r="U44" t="s">
        <v>260</v>
      </c>
      <c r="V44" t="e">
        <f>VLOOKUP(Tabla1313[[#This Row],[Apoyo]],'LM SAP'!A:I,9,FALSE)</f>
        <v>#N/A</v>
      </c>
      <c r="W44" t="e">
        <f>VLOOKUP(Tabla1313[[#This Row],[Código Indra]],#REF!,1,FALSE)</f>
        <v>#REF!</v>
      </c>
    </row>
    <row r="45" spans="1:23" ht="60" x14ac:dyDescent="0.25">
      <c r="A45" s="64">
        <v>33</v>
      </c>
      <c r="B45" s="93" t="s">
        <v>385</v>
      </c>
      <c r="C45" s="75" t="s">
        <v>386</v>
      </c>
      <c r="D45" s="61" t="s">
        <v>319</v>
      </c>
      <c r="E45" s="75" t="s">
        <v>387</v>
      </c>
      <c r="F45" s="64">
        <v>1</v>
      </c>
      <c r="G45" s="61" t="s">
        <v>234</v>
      </c>
      <c r="H45" s="64"/>
      <c r="I45" s="61" t="s">
        <v>321</v>
      </c>
      <c r="J45" s="64"/>
      <c r="K45" s="213" t="s">
        <v>219</v>
      </c>
      <c r="L45" s="222">
        <v>60004273</v>
      </c>
      <c r="M45" s="223">
        <v>45540</v>
      </c>
      <c r="N45" s="223">
        <v>45561</v>
      </c>
      <c r="O45" s="189" t="s">
        <v>388</v>
      </c>
      <c r="P45" s="220" t="str">
        <f>IF(LEFT(B45,5)="09735",
    IF(ISNA(VLOOKUP(Tabla1313[[#This Row],[Apoyo]],'LM SAP'!A:G,1,FALSE)),
        "No Disponible",
        IF(VLOOKUP(Tabla1313[[#This Row],[Apoyo]],'LM SAP'!A:AD,9,FALSE)="RR",
            "Disponible",
            "Firmas SAP"
        )
    ),
    "CONSULTAR"
)</f>
        <v>No Disponible</v>
      </c>
      <c r="Q45" s="63" t="str">
        <f>MID(Tabla1313[[#This Row],[Código Indra]],1,13)</f>
        <v>0973525140000</v>
      </c>
      <c r="R45" s="63" t="s">
        <v>255</v>
      </c>
      <c r="S45" s="90" t="str">
        <f>IF(ISNA(VLOOKUP(Tabla1313[[#This Row],[Código Indra]],#REF!,1,FALSE)),"NO", "SI")</f>
        <v>SI</v>
      </c>
      <c r="T45" s="91"/>
      <c r="U45" t="s">
        <v>255</v>
      </c>
      <c r="V45" t="e">
        <f>VLOOKUP(Tabla1313[[#This Row],[Apoyo]],'LM SAP'!A:I,9,FALSE)</f>
        <v>#N/A</v>
      </c>
      <c r="W45" t="e">
        <f>VLOOKUP(Tabla1313[[#This Row],[Código Indra]],#REF!,1,FALSE)</f>
        <v>#REF!</v>
      </c>
    </row>
    <row r="46" spans="1:23" ht="45" x14ac:dyDescent="0.25">
      <c r="A46" s="64">
        <v>34</v>
      </c>
      <c r="B46" s="159" t="s">
        <v>389</v>
      </c>
      <c r="C46" s="76" t="s">
        <v>390</v>
      </c>
      <c r="D46" s="64" t="s">
        <v>142</v>
      </c>
      <c r="E46" s="76" t="s">
        <v>391</v>
      </c>
      <c r="F46" s="64">
        <v>1</v>
      </c>
      <c r="G46" s="61" t="s">
        <v>260</v>
      </c>
      <c r="H46" s="61" t="s">
        <v>261</v>
      </c>
      <c r="I46" s="64" t="s">
        <v>321</v>
      </c>
      <c r="J46" s="64"/>
      <c r="K46" s="213" t="s">
        <v>217</v>
      </c>
      <c r="L46" s="222">
        <v>60004988</v>
      </c>
      <c r="M46" s="223">
        <v>45615</v>
      </c>
      <c r="N46" s="223">
        <v>45635</v>
      </c>
      <c r="O46" s="240" t="s">
        <v>281</v>
      </c>
      <c r="P46" s="220" t="str">
        <f>IF(LEFT(B46,5)="09735",
    IF(ISNA(VLOOKUP(Tabla1313[[#This Row],[Apoyo]],'LM SAP'!A:G,1,FALSE)),
        "No Disponible",
        IF(VLOOKUP(Tabla1313[[#This Row],[Apoyo]],'LM SAP'!A:AD,9,FALSE)="RR",
            "Disponible",
            "Firmas SAP"
        )
    ),
    "CONSULTAR"
)</f>
        <v>Disponible</v>
      </c>
      <c r="Q46" s="63" t="str">
        <f>MID(Tabla1313[[#This Row],[Código Indra]],1,13)</f>
        <v>0973525140100</v>
      </c>
      <c r="R46" s="63" t="s">
        <v>255</v>
      </c>
      <c r="S46" s="90" t="str">
        <f>IF(ISNA(VLOOKUP(Tabla1313[[#This Row],[Código Indra]],#REF!,1,FALSE)),"NO", "SI")</f>
        <v>SI</v>
      </c>
      <c r="T46" s="91"/>
      <c r="U46" t="s">
        <v>260</v>
      </c>
      <c r="V46" t="str">
        <f>VLOOKUP(Tabla1313[[#This Row],[Apoyo]],'LM SAP'!A:I,9,FALSE)</f>
        <v>RR</v>
      </c>
      <c r="W46" t="e">
        <f>VLOOKUP(Tabla1313[[#This Row],[Código Indra]],#REF!,1,FALSE)</f>
        <v>#REF!</v>
      </c>
    </row>
    <row r="47" spans="1:23" ht="45" x14ac:dyDescent="0.25">
      <c r="A47" s="64">
        <v>35</v>
      </c>
      <c r="B47" s="160" t="s">
        <v>392</v>
      </c>
      <c r="C47" s="75" t="s">
        <v>393</v>
      </c>
      <c r="D47" s="61" t="s">
        <v>142</v>
      </c>
      <c r="E47" s="75" t="s">
        <v>394</v>
      </c>
      <c r="F47" s="64">
        <v>1</v>
      </c>
      <c r="G47" s="61" t="s">
        <v>260</v>
      </c>
      <c r="H47" s="61" t="s">
        <v>261</v>
      </c>
      <c r="I47" s="61" t="s">
        <v>321</v>
      </c>
      <c r="J47" s="64"/>
      <c r="K47" s="213" t="s">
        <v>215</v>
      </c>
      <c r="L47" s="222">
        <v>60004989</v>
      </c>
      <c r="M47" s="223">
        <v>45615</v>
      </c>
      <c r="N47" s="192"/>
      <c r="O47" s="241" t="s">
        <v>395</v>
      </c>
      <c r="P47" s="220" t="str">
        <f>IF(LEFT(B47,5)="09735",
    IF(ISNA(VLOOKUP(Tabla1313[[#This Row],[Apoyo]],'LM SAP'!A:G,1,FALSE)),
        "No Disponible",
        IF(VLOOKUP(Tabla1313[[#This Row],[Apoyo]],'LM SAP'!A:AD,9,FALSE)="RR",
            "Disponible",
            "Firmas SAP"
        )
    ),
    "CONSULTAR"
)</f>
        <v>Disponible</v>
      </c>
      <c r="Q47" s="63" t="str">
        <f>MID(Tabla1313[[#This Row],[Código Indra]],1,13)</f>
        <v>0973525140200</v>
      </c>
      <c r="R47" s="63" t="s">
        <v>255</v>
      </c>
      <c r="S47" s="90" t="str">
        <f>IF(ISNA(VLOOKUP(Tabla1313[[#This Row],[Código Indra]],#REF!,1,FALSE)),"NO", "SI")</f>
        <v>SI</v>
      </c>
      <c r="T47" s="91"/>
      <c r="U47" t="s">
        <v>260</v>
      </c>
      <c r="V47" t="str">
        <f>VLOOKUP(Tabla1313[[#This Row],[Apoyo]],'LM SAP'!A:I,9,FALSE)</f>
        <v>RR</v>
      </c>
      <c r="W47" t="e">
        <f>VLOOKUP(Tabla1313[[#This Row],[Código Indra]],#REF!,1,FALSE)</f>
        <v>#REF!</v>
      </c>
    </row>
    <row r="48" spans="1:23" ht="45" x14ac:dyDescent="0.25">
      <c r="A48" s="64">
        <v>36</v>
      </c>
      <c r="B48" s="159" t="s">
        <v>396</v>
      </c>
      <c r="C48" s="76" t="s">
        <v>397</v>
      </c>
      <c r="D48" s="64" t="s">
        <v>142</v>
      </c>
      <c r="E48" s="76" t="s">
        <v>398</v>
      </c>
      <c r="F48" s="64">
        <v>1</v>
      </c>
      <c r="G48" s="61" t="s">
        <v>260</v>
      </c>
      <c r="H48" s="61" t="s">
        <v>261</v>
      </c>
      <c r="I48" s="64" t="s">
        <v>321</v>
      </c>
      <c r="J48" s="64"/>
      <c r="K48" s="213" t="s">
        <v>215</v>
      </c>
      <c r="L48" s="222">
        <v>60004990</v>
      </c>
      <c r="M48" s="223">
        <v>45615</v>
      </c>
      <c r="N48" s="192"/>
      <c r="O48" s="241" t="s">
        <v>395</v>
      </c>
      <c r="P48" s="220" t="str">
        <f>IF(LEFT(B48,5)="09735",
    IF(ISNA(VLOOKUP(Tabla1313[[#This Row],[Apoyo]],'LM SAP'!A:G,1,FALSE)),
        "No Disponible",
        IF(VLOOKUP(Tabla1313[[#This Row],[Apoyo]],'LM SAP'!A:AD,9,FALSE)="RR",
            "Disponible",
            "Firmas SAP"
        )
    ),
    "CONSULTAR"
)</f>
        <v>No Disponible</v>
      </c>
      <c r="Q48" s="63" t="str">
        <f>MID(Tabla1313[[#This Row],[Código Indra]],1,13)</f>
        <v>0973525140300</v>
      </c>
      <c r="R48" s="63" t="s">
        <v>255</v>
      </c>
      <c r="S48" s="90" t="str">
        <f>IF(ISNA(VLOOKUP(Tabla1313[[#This Row],[Código Indra]],#REF!,1,FALSE)),"NO", "SI")</f>
        <v>SI</v>
      </c>
      <c r="T48" s="91"/>
      <c r="U48" t="s">
        <v>260</v>
      </c>
      <c r="V48" t="e">
        <f>VLOOKUP(Tabla1313[[#This Row],[Apoyo]],'LM SAP'!A:I,9,FALSE)</f>
        <v>#N/A</v>
      </c>
      <c r="W48" t="e">
        <f>VLOOKUP(Tabla1313[[#This Row],[Código Indra]],#REF!,1,FALSE)</f>
        <v>#REF!</v>
      </c>
    </row>
    <row r="49" spans="1:23" ht="45" x14ac:dyDescent="0.25">
      <c r="A49" s="64">
        <v>37</v>
      </c>
      <c r="B49" s="160" t="s">
        <v>399</v>
      </c>
      <c r="C49" s="75" t="s">
        <v>400</v>
      </c>
      <c r="D49" s="61" t="s">
        <v>142</v>
      </c>
      <c r="E49" s="75" t="s">
        <v>401</v>
      </c>
      <c r="F49" s="64">
        <v>1</v>
      </c>
      <c r="G49" s="61" t="s">
        <v>260</v>
      </c>
      <c r="H49" s="61" t="s">
        <v>261</v>
      </c>
      <c r="I49" s="61" t="s">
        <v>321</v>
      </c>
      <c r="J49" s="64"/>
      <c r="K49" s="213" t="s">
        <v>215</v>
      </c>
      <c r="L49" s="222">
        <v>60004991</v>
      </c>
      <c r="M49" s="223">
        <v>45615</v>
      </c>
      <c r="N49" s="192"/>
      <c r="O49" s="241" t="s">
        <v>402</v>
      </c>
      <c r="P49" s="220" t="str">
        <f>IF(LEFT(B49,5)="09735",
    IF(ISNA(VLOOKUP(Tabla1313[[#This Row],[Apoyo]],'LM SAP'!A:G,1,FALSE)),
        "No Disponible",
        IF(VLOOKUP(Tabla1313[[#This Row],[Apoyo]],'LM SAP'!A:AD,9,FALSE)="RR",
            "Disponible",
            "Firmas SAP"
        )
    ),
    "CONSULTAR"
)</f>
        <v>No Disponible</v>
      </c>
      <c r="Q49" s="63" t="str">
        <f>MID(Tabla1313[[#This Row],[Código Indra]],1,13)</f>
        <v>0973525140400</v>
      </c>
      <c r="R49" s="63" t="s">
        <v>255</v>
      </c>
      <c r="S49" s="90" t="str">
        <f>IF(ISNA(VLOOKUP(Tabla1313[[#This Row],[Código Indra]],#REF!,1,FALSE)),"NO", "SI")</f>
        <v>SI</v>
      </c>
      <c r="T49" s="91"/>
      <c r="U49" t="s">
        <v>260</v>
      </c>
      <c r="V49" t="e">
        <f>VLOOKUP(Tabla1313[[#This Row],[Apoyo]],'LM SAP'!A:I,9,FALSE)</f>
        <v>#N/A</v>
      </c>
      <c r="W49" t="e">
        <f>VLOOKUP(Tabla1313[[#This Row],[Código Indra]],#REF!,1,FALSE)</f>
        <v>#REF!</v>
      </c>
    </row>
    <row r="50" spans="1:23" ht="45" x14ac:dyDescent="0.25">
      <c r="A50" s="64">
        <v>38</v>
      </c>
      <c r="B50" s="159" t="s">
        <v>403</v>
      </c>
      <c r="C50" s="76" t="s">
        <v>404</v>
      </c>
      <c r="D50" s="64" t="s">
        <v>142</v>
      </c>
      <c r="E50" s="76" t="s">
        <v>405</v>
      </c>
      <c r="F50" s="64">
        <v>1</v>
      </c>
      <c r="G50" s="61" t="s">
        <v>260</v>
      </c>
      <c r="H50" s="61" t="s">
        <v>261</v>
      </c>
      <c r="I50" s="64" t="s">
        <v>321</v>
      </c>
      <c r="J50" s="64"/>
      <c r="K50" s="213" t="s">
        <v>262</v>
      </c>
      <c r="L50" s="191">
        <v>60004737</v>
      </c>
      <c r="M50" s="192">
        <v>45607</v>
      </c>
      <c r="N50" s="192">
        <v>45611</v>
      </c>
      <c r="O50" s="219" t="s">
        <v>406</v>
      </c>
      <c r="P50" s="220" t="str">
        <f>IF(LEFT(B50,5)="09735",
    IF(ISNA(VLOOKUP(Tabla1313[[#This Row],[Apoyo]],'LM SAP'!A:G,1,FALSE)),
        "No Disponible",
        IF(VLOOKUP(Tabla1313[[#This Row],[Apoyo]],'LM SAP'!A:AD,9,FALSE)="RR",
            "Disponible",
            "Firmas SAP"
        )
    ),
    "CONSULTAR"
)</f>
        <v>No Disponible</v>
      </c>
      <c r="Q50" s="63" t="str">
        <f>MID(Tabla1313[[#This Row],[Código Indra]],1,13)</f>
        <v>0973525140500</v>
      </c>
      <c r="R50" s="63" t="s">
        <v>255</v>
      </c>
      <c r="S50" s="90" t="str">
        <f>IF(ISNA(VLOOKUP(Tabla1313[[#This Row],[Código Indra]],#REF!,1,FALSE)),"NO", "SI")</f>
        <v>SI</v>
      </c>
      <c r="T50" s="91"/>
      <c r="U50" t="s">
        <v>260</v>
      </c>
      <c r="V50" t="e">
        <f>VLOOKUP(Tabla1313[[#This Row],[Apoyo]],'LM SAP'!A:I,9,FALSE)</f>
        <v>#N/A</v>
      </c>
      <c r="W50" t="e">
        <f>VLOOKUP(Tabla1313[[#This Row],[Código Indra]],#REF!,1,FALSE)</f>
        <v>#REF!</v>
      </c>
    </row>
    <row r="51" spans="1:23" ht="45" x14ac:dyDescent="0.25">
      <c r="A51" s="64">
        <v>39</v>
      </c>
      <c r="B51" s="64" t="s">
        <v>407</v>
      </c>
      <c r="C51" s="75" t="s">
        <v>408</v>
      </c>
      <c r="D51" s="61" t="s">
        <v>142</v>
      </c>
      <c r="E51" s="75" t="s">
        <v>409</v>
      </c>
      <c r="F51" s="64">
        <v>1</v>
      </c>
      <c r="G51" s="61" t="s">
        <v>260</v>
      </c>
      <c r="H51" s="61" t="s">
        <v>261</v>
      </c>
      <c r="I51" s="61" t="s">
        <v>321</v>
      </c>
      <c r="J51" s="64"/>
      <c r="K51" s="213" t="s">
        <v>215</v>
      </c>
      <c r="L51" s="222">
        <v>60005359</v>
      </c>
      <c r="M51" s="223">
        <v>45636</v>
      </c>
      <c r="N51" s="192"/>
      <c r="O51" s="232"/>
      <c r="P51" s="220" t="str">
        <f>IF(LEFT(B51,5)="09735",
    IF(ISNA(VLOOKUP(Tabla1313[[#This Row],[Apoyo]],'LM SAP'!A:G,1,FALSE)),
        "No Disponible",
        IF(VLOOKUP(Tabla1313[[#This Row],[Apoyo]],'LM SAP'!A:AD,9,FALSE)="RR",
            "Disponible",
            "Firmas SAP"
        )
    ),
    "CONSULTAR"
)</f>
        <v>No Disponible</v>
      </c>
      <c r="Q51" s="63" t="str">
        <f>MID(Tabla1313[[#This Row],[Código Indra]],1,13)</f>
        <v>0973525140600</v>
      </c>
      <c r="R51" s="63" t="s">
        <v>255</v>
      </c>
      <c r="S51" s="90" t="str">
        <f>IF(ISNA(VLOOKUP(Tabla1313[[#This Row],[Código Indra]],#REF!,1,FALSE)),"NO", "SI")</f>
        <v>SI</v>
      </c>
      <c r="T51" s="91"/>
      <c r="U51" t="s">
        <v>260</v>
      </c>
      <c r="V51" t="e">
        <f>VLOOKUP(Tabla1313[[#This Row],[Apoyo]],'LM SAP'!A:I,9,FALSE)</f>
        <v>#N/A</v>
      </c>
      <c r="W51" t="e">
        <f>VLOOKUP(Tabla1313[[#This Row],[Código Indra]],#REF!,1,FALSE)</f>
        <v>#REF!</v>
      </c>
    </row>
    <row r="52" spans="1:23" ht="48" x14ac:dyDescent="0.25">
      <c r="A52" s="64">
        <v>40</v>
      </c>
      <c r="B52" s="61" t="s">
        <v>410</v>
      </c>
      <c r="C52" s="76" t="s">
        <v>411</v>
      </c>
      <c r="D52" s="64" t="s">
        <v>142</v>
      </c>
      <c r="E52" s="76" t="s">
        <v>412</v>
      </c>
      <c r="F52" s="64">
        <v>1</v>
      </c>
      <c r="G52" s="61" t="s">
        <v>260</v>
      </c>
      <c r="H52" s="61" t="s">
        <v>261</v>
      </c>
      <c r="I52" s="64" t="s">
        <v>321</v>
      </c>
      <c r="J52" s="64"/>
      <c r="K52" s="213" t="s">
        <v>215</v>
      </c>
      <c r="L52" s="222">
        <v>60005261</v>
      </c>
      <c r="M52" s="223">
        <v>45623</v>
      </c>
      <c r="N52" s="223"/>
      <c r="O52" s="241" t="s">
        <v>413</v>
      </c>
      <c r="P52" s="220" t="str">
        <f>IF(LEFT(B52,5)="09735",
    IF(ISNA(VLOOKUP(Tabla1313[[#This Row],[Apoyo]],'LM SAP'!A:G,1,FALSE)),
        "No Disponible",
        IF(VLOOKUP(Tabla1313[[#This Row],[Apoyo]],'LM SAP'!A:AD,9,FALSE)="RR",
            "Disponible",
            "Firmas SAP"
        )
    ),
    "CONSULTAR"
)</f>
        <v>No Disponible</v>
      </c>
      <c r="Q52" s="63" t="str">
        <f>MID(Tabla1313[[#This Row],[Código Indra]],1,13)</f>
        <v>0973525140700</v>
      </c>
      <c r="R52" s="63" t="s">
        <v>255</v>
      </c>
      <c r="S52" s="90" t="str">
        <f>IF(ISNA(VLOOKUP(Tabla1313[[#This Row],[Código Indra]],#REF!,1,FALSE)),"NO", "SI")</f>
        <v>SI</v>
      </c>
      <c r="T52" s="91"/>
      <c r="U52" t="s">
        <v>260</v>
      </c>
      <c r="V52" t="e">
        <f>VLOOKUP(Tabla1313[[#This Row],[Apoyo]],'LM SAP'!A:I,9,FALSE)</f>
        <v>#N/A</v>
      </c>
      <c r="W52" t="e">
        <f>VLOOKUP(Tabla1313[[#This Row],[Código Indra]],#REF!,1,FALSE)</f>
        <v>#REF!</v>
      </c>
    </row>
    <row r="53" spans="1:23" ht="45" x14ac:dyDescent="0.25">
      <c r="A53" s="64">
        <v>41</v>
      </c>
      <c r="B53" s="64" t="s">
        <v>414</v>
      </c>
      <c r="C53" s="75" t="s">
        <v>415</v>
      </c>
      <c r="D53" s="61" t="s">
        <v>142</v>
      </c>
      <c r="E53" s="75" t="s">
        <v>416</v>
      </c>
      <c r="F53" s="64">
        <v>1</v>
      </c>
      <c r="G53" s="61" t="s">
        <v>260</v>
      </c>
      <c r="H53" s="61" t="s">
        <v>261</v>
      </c>
      <c r="I53" s="61" t="s">
        <v>321</v>
      </c>
      <c r="J53" s="64"/>
      <c r="K53" s="213" t="s">
        <v>215</v>
      </c>
      <c r="L53" s="222">
        <v>60005360</v>
      </c>
      <c r="M53" s="223">
        <v>45636</v>
      </c>
      <c r="N53" s="192"/>
      <c r="O53" s="232"/>
      <c r="P53" s="220" t="str">
        <f>IF(LEFT(B53,5)="09735",
    IF(ISNA(VLOOKUP(Tabla1313[[#This Row],[Apoyo]],'LM SAP'!A:G,1,FALSE)),
        "No Disponible",
        IF(VLOOKUP(Tabla1313[[#This Row],[Apoyo]],'LM SAP'!A:AD,9,FALSE)="RR",
            "Disponible",
            "Firmas SAP"
        )
    ),
    "CONSULTAR"
)</f>
        <v>No Disponible</v>
      </c>
      <c r="Q53" s="63" t="str">
        <f>MID(Tabla1313[[#This Row],[Código Indra]],1,13)</f>
        <v>0973525140800</v>
      </c>
      <c r="R53" s="63" t="s">
        <v>255</v>
      </c>
      <c r="S53" s="90" t="str">
        <f>IF(ISNA(VLOOKUP(Tabla1313[[#This Row],[Código Indra]],#REF!,1,FALSE)),"NO", "SI")</f>
        <v>SI</v>
      </c>
      <c r="T53" s="91"/>
      <c r="U53" t="s">
        <v>260</v>
      </c>
      <c r="V53" t="e">
        <f>VLOOKUP(Tabla1313[[#This Row],[Apoyo]],'LM SAP'!A:I,9,FALSE)</f>
        <v>#N/A</v>
      </c>
      <c r="W53" t="e">
        <f>VLOOKUP(Tabla1313[[#This Row],[Código Indra]],#REF!,1,FALSE)</f>
        <v>#REF!</v>
      </c>
    </row>
    <row r="54" spans="1:23" ht="42" customHeight="1" x14ac:dyDescent="0.25">
      <c r="A54" s="64">
        <v>42</v>
      </c>
      <c r="B54" s="61" t="s">
        <v>417</v>
      </c>
      <c r="C54" s="76" t="s">
        <v>418</v>
      </c>
      <c r="D54" s="64" t="s">
        <v>26</v>
      </c>
      <c r="E54" s="76" t="s">
        <v>419</v>
      </c>
      <c r="F54" s="64">
        <v>1</v>
      </c>
      <c r="G54" s="61" t="s">
        <v>234</v>
      </c>
      <c r="H54" s="64"/>
      <c r="I54" s="64" t="s">
        <v>251</v>
      </c>
      <c r="J54" s="64"/>
      <c r="K54" s="213" t="s">
        <v>216</v>
      </c>
      <c r="L54" s="222">
        <v>60004985</v>
      </c>
      <c r="M54" s="223">
        <v>45611</v>
      </c>
      <c r="N54" s="223"/>
      <c r="O54" s="239" t="s">
        <v>420</v>
      </c>
      <c r="P54" s="220" t="str">
        <f>IF(LEFT(B54,5)="09735",
    IF(ISNA(VLOOKUP(Tabla1313[[#This Row],[Apoyo]],'LM SAP'!A:G,1,FALSE)),
        "No Disponible",
        IF(VLOOKUP(Tabla1313[[#This Row],[Apoyo]],'LM SAP'!A:AD,9,FALSE)="RR",
            "Disponible",
            "Firmas SAP"
        )
    ),
    "CONSULTAR"
)</f>
        <v>No Disponible</v>
      </c>
      <c r="Q54" s="63" t="str">
        <f>MID(Tabla1313[[#This Row],[Código Indra]],1,13)</f>
        <v>0973525190100</v>
      </c>
      <c r="R54" s="63" t="s">
        <v>255</v>
      </c>
      <c r="S54" s="90" t="str">
        <f>IF(ISNA(VLOOKUP(Tabla1313[[#This Row],[Código Indra]],#REF!,1,FALSE)),"NO", "SI")</f>
        <v>SI</v>
      </c>
      <c r="T54" s="91"/>
      <c r="U54" t="s">
        <v>255</v>
      </c>
      <c r="V54" t="e">
        <f>VLOOKUP(Tabla1313[[#This Row],[Apoyo]],'LM SAP'!A:I,9,FALSE)</f>
        <v>#N/A</v>
      </c>
      <c r="W54" t="e">
        <f>VLOOKUP(Tabla1313[[#This Row],[Código Indra]],#REF!,1,FALSE)</f>
        <v>#REF!</v>
      </c>
    </row>
    <row r="55" spans="1:23" ht="60" x14ac:dyDescent="0.25">
      <c r="A55" s="64">
        <v>43</v>
      </c>
      <c r="B55" s="159" t="s">
        <v>421</v>
      </c>
      <c r="C55" s="150" t="s">
        <v>422</v>
      </c>
      <c r="D55" s="61" t="s">
        <v>26</v>
      </c>
      <c r="E55" s="75" t="s">
        <v>423</v>
      </c>
      <c r="F55" s="64">
        <v>1</v>
      </c>
      <c r="G55" s="61" t="s">
        <v>234</v>
      </c>
      <c r="H55" s="61" t="s">
        <v>250</v>
      </c>
      <c r="I55" s="61" t="s">
        <v>321</v>
      </c>
      <c r="J55" s="64"/>
      <c r="K55" s="213" t="s">
        <v>217</v>
      </c>
      <c r="L55" s="191">
        <v>60005127</v>
      </c>
      <c r="M55" s="192">
        <v>45617</v>
      </c>
      <c r="N55" s="192">
        <v>45624</v>
      </c>
      <c r="O55" s="232" t="s">
        <v>424</v>
      </c>
      <c r="P55" s="220" t="str">
        <f>IF(LEFT(B55,5)="09735",
    IF(ISNA(VLOOKUP(Tabla1313[[#This Row],[Apoyo]],'LM SAP'!A:G,1,FALSE)),
        "No Disponible",
        IF(VLOOKUP(Tabla1313[[#This Row],[Apoyo]],'LM SAP'!A:AD,9,FALSE)="RR",
            "Disponible",
            "Firmas SAP"
        )
    ),
    "CONSULTAR"
)</f>
        <v>No Disponible</v>
      </c>
      <c r="Q55" s="63" t="str">
        <f>MID(Tabla1313[[#This Row],[Código Indra]],1,13)</f>
        <v>0973525190300</v>
      </c>
      <c r="R55" s="63" t="s">
        <v>255</v>
      </c>
      <c r="S55" s="90" t="str">
        <f>IF(ISNA(VLOOKUP(Tabla1313[[#This Row],[Código Indra]],#REF!,1,FALSE)),"NO", "SI")</f>
        <v>SI</v>
      </c>
      <c r="T55" s="91"/>
      <c r="U55" t="s">
        <v>255</v>
      </c>
      <c r="V55" t="e">
        <f>VLOOKUP(Tabla1313[[#This Row],[Apoyo]],'LM SAP'!A:I,9,FALSE)</f>
        <v>#N/A</v>
      </c>
      <c r="W55" t="e">
        <f>VLOOKUP(Tabla1313[[#This Row],[Código Indra]],#REF!,1,FALSE)</f>
        <v>#REF!</v>
      </c>
    </row>
    <row r="56" spans="1:23" s="114" customFormat="1" ht="84" x14ac:dyDescent="0.25">
      <c r="A56" s="64">
        <v>44</v>
      </c>
      <c r="B56" s="159" t="s">
        <v>425</v>
      </c>
      <c r="C56" s="151" t="s">
        <v>426</v>
      </c>
      <c r="D56" s="64" t="s">
        <v>26</v>
      </c>
      <c r="E56" s="76" t="s">
        <v>427</v>
      </c>
      <c r="F56" s="64">
        <v>1</v>
      </c>
      <c r="G56" s="61" t="s">
        <v>234</v>
      </c>
      <c r="H56" s="61" t="s">
        <v>428</v>
      </c>
      <c r="I56" s="64" t="s">
        <v>321</v>
      </c>
      <c r="J56" s="64"/>
      <c r="K56" s="213" t="s">
        <v>252</v>
      </c>
      <c r="L56" s="191">
        <v>60004736</v>
      </c>
      <c r="M56" s="192">
        <v>45607</v>
      </c>
      <c r="N56" s="192">
        <v>45610</v>
      </c>
      <c r="O56" s="242" t="s">
        <v>429</v>
      </c>
      <c r="P56" s="220" t="str">
        <f>IF(LEFT(B56,5)="09735",
    IF(ISNA(VLOOKUP(Tabla1313[[#This Row],[Apoyo]],'LM SAP'!A:G,1,FALSE)),
        "No Disponible",
        IF(VLOOKUP(Tabla1313[[#This Row],[Apoyo]],'LM SAP'!A:AD,9,FALSE)="RR",
            "Disponible",
            "Firmas SAP"
        )
    ),
    "CONSULTAR"
)</f>
        <v>No Disponible</v>
      </c>
      <c r="Q56" s="63" t="str">
        <f>MID(Tabla1313[[#This Row],[Código Indra]],1,13)</f>
        <v>0973525191400</v>
      </c>
      <c r="R56" s="63" t="s">
        <v>255</v>
      </c>
      <c r="S56" s="90" t="str">
        <f>IF(ISNA(VLOOKUP(Tabla1313[[#This Row],[Código Indra]],#REF!,1,FALSE)),"NO", "SI")</f>
        <v>SI</v>
      </c>
      <c r="T56" s="91"/>
      <c r="U56" t="s">
        <v>255</v>
      </c>
      <c r="V56" s="114" t="e">
        <f>VLOOKUP(Tabla1313[[#This Row],[Apoyo]],'LM SAP'!A:I,9,FALSE)</f>
        <v>#N/A</v>
      </c>
      <c r="W56" s="114" t="e">
        <f>VLOOKUP(Tabla1313[[#This Row],[Código Indra]],#REF!,1,FALSE)</f>
        <v>#REF!</v>
      </c>
    </row>
    <row r="57" spans="1:23" ht="60" x14ac:dyDescent="0.25">
      <c r="A57" s="64">
        <v>45</v>
      </c>
      <c r="B57" s="64" t="s">
        <v>430</v>
      </c>
      <c r="C57" s="75" t="s">
        <v>431</v>
      </c>
      <c r="D57" s="61" t="s">
        <v>26</v>
      </c>
      <c r="E57" s="75" t="s">
        <v>432</v>
      </c>
      <c r="F57" s="64">
        <v>1</v>
      </c>
      <c r="G57" s="61" t="s">
        <v>234</v>
      </c>
      <c r="H57" s="61" t="s">
        <v>275</v>
      </c>
      <c r="I57" s="61" t="s">
        <v>276</v>
      </c>
      <c r="J57" s="64"/>
      <c r="K57" s="213" t="s">
        <v>216</v>
      </c>
      <c r="L57" s="222">
        <v>60004833</v>
      </c>
      <c r="M57" s="223">
        <v>45600</v>
      </c>
      <c r="N57" s="192"/>
      <c r="O57" s="239" t="s">
        <v>433</v>
      </c>
      <c r="P57" s="220" t="str">
        <f>IF(LEFT(B57,5)="09735",
    IF(ISNA(VLOOKUP(Tabla1313[[#This Row],[Apoyo]],'LM SAP'!A:G,1,FALSE)),
        "No Disponible",
        IF(VLOOKUP(Tabla1313[[#This Row],[Apoyo]],'LM SAP'!A:AD,9,FALSE)="RR",
            "Disponible",
            "Firmas SAP"
        )
    ),
    "CONSULTAR"
)</f>
        <v>No Disponible</v>
      </c>
      <c r="Q57" s="63" t="str">
        <f>MID(Tabla1313[[#This Row],[Código Indra]],1,13)</f>
        <v>0973525191500</v>
      </c>
      <c r="R57" s="63" t="s">
        <v>255</v>
      </c>
      <c r="S57" s="90" t="str">
        <f>IF(ISNA(VLOOKUP(Tabla1313[[#This Row],[Código Indra]],#REF!,1,FALSE)),"NO", "SI")</f>
        <v>SI</v>
      </c>
      <c r="T57" s="91"/>
      <c r="U57" t="s">
        <v>255</v>
      </c>
      <c r="V57" t="e">
        <f>VLOOKUP(Tabla1313[[#This Row],[Apoyo]],'LM SAP'!A:I,9,FALSE)</f>
        <v>#N/A</v>
      </c>
      <c r="W57" t="e">
        <f>VLOOKUP(Tabla1313[[#This Row],[Código Indra]],#REF!,1,FALSE)</f>
        <v>#REF!</v>
      </c>
    </row>
    <row r="58" spans="1:23" ht="60" x14ac:dyDescent="0.25">
      <c r="A58" s="64">
        <v>46</v>
      </c>
      <c r="B58" s="61" t="s">
        <v>434</v>
      </c>
      <c r="C58" s="76" t="s">
        <v>435</v>
      </c>
      <c r="D58" s="64" t="s">
        <v>31</v>
      </c>
      <c r="E58" s="76" t="s">
        <v>436</v>
      </c>
      <c r="F58" s="64">
        <v>1</v>
      </c>
      <c r="G58" s="61" t="s">
        <v>234</v>
      </c>
      <c r="H58" s="64"/>
      <c r="I58" s="64" t="s">
        <v>276</v>
      </c>
      <c r="J58" s="64"/>
      <c r="K58" s="213" t="s">
        <v>212</v>
      </c>
      <c r="L58" s="191"/>
      <c r="M58" s="192"/>
      <c r="N58" s="192"/>
      <c r="O58" s="207" t="s">
        <v>361</v>
      </c>
      <c r="P58" s="220" t="str">
        <f>IF(LEFT(B58,5)="09735",
    IF(ISNA(VLOOKUP(Tabla1313[[#This Row],[Apoyo]],'LM SAP'!A:G,1,FALSE)),
        "No Disponible",
        IF(VLOOKUP(Tabla1313[[#This Row],[Apoyo]],'LM SAP'!A:AD,9,FALSE)="RR",
            "Disponible",
            "Firmas SAP"
        )
    ),
    "CONSULTAR"
)</f>
        <v>No Disponible</v>
      </c>
      <c r="Q58" s="63" t="str">
        <f>MID(Tabla1313[[#This Row],[Código Indra]],1,13)</f>
        <v>0973525201000</v>
      </c>
      <c r="R58" s="63" t="s">
        <v>255</v>
      </c>
      <c r="S58" s="90" t="str">
        <f>IF(ISNA(VLOOKUP(Tabla1313[[#This Row],[Código Indra]],#REF!,1,FALSE)),"NO", "SI")</f>
        <v>SI</v>
      </c>
      <c r="T58" s="91"/>
      <c r="U58" t="s">
        <v>255</v>
      </c>
      <c r="V58" t="e">
        <f>VLOOKUP(Tabla1313[[#This Row],[Apoyo]],'LM SAP'!A:I,9,FALSE)</f>
        <v>#N/A</v>
      </c>
      <c r="W58" t="e">
        <f>VLOOKUP(Tabla1313[[#This Row],[Código Indra]],#REF!,1,FALSE)</f>
        <v>#REF!</v>
      </c>
    </row>
    <row r="59" spans="1:23" ht="45" x14ac:dyDescent="0.25">
      <c r="A59" s="64">
        <v>48</v>
      </c>
      <c r="B59" s="64" t="s">
        <v>437</v>
      </c>
      <c r="C59" s="75" t="s">
        <v>438</v>
      </c>
      <c r="D59" s="61" t="s">
        <v>182</v>
      </c>
      <c r="E59" s="75" t="s">
        <v>439</v>
      </c>
      <c r="F59" s="64">
        <v>1</v>
      </c>
      <c r="G59" s="61" t="s">
        <v>260</v>
      </c>
      <c r="H59" s="61" t="s">
        <v>261</v>
      </c>
      <c r="I59" s="61" t="s">
        <v>276</v>
      </c>
      <c r="J59" s="64"/>
      <c r="K59" s="213" t="s">
        <v>215</v>
      </c>
      <c r="L59" s="222">
        <v>60005361</v>
      </c>
      <c r="M59" s="223">
        <v>45636</v>
      </c>
      <c r="N59" s="192"/>
      <c r="O59" s="232"/>
      <c r="P59" s="220" t="str">
        <f>IF(LEFT(B59,5)="09735",
    IF(ISNA(VLOOKUP(Tabla1313[[#This Row],[Apoyo]],'LM SAP'!A:G,1,FALSE)),
        "No Disponible",
        IF(VLOOKUP(Tabla1313[[#This Row],[Apoyo]],'LM SAP'!A:AD,9,FALSE)="RR",
            "Disponible",
            "Firmas SAP"
        )
    ),
    "CONSULTAR"
)</f>
        <v>No Disponible</v>
      </c>
      <c r="Q59" s="63" t="str">
        <f>MID(Tabla1313[[#This Row],[Código Indra]],1,13)</f>
        <v>0973525240200</v>
      </c>
      <c r="R59" s="63" t="s">
        <v>255</v>
      </c>
      <c r="S59" s="90" t="str">
        <f>IF(ISNA(VLOOKUP(Tabla1313[[#This Row],[Código Indra]],#REF!,1,FALSE)),"NO", "SI")</f>
        <v>SI</v>
      </c>
      <c r="T59" s="91"/>
      <c r="U59" t="s">
        <v>260</v>
      </c>
      <c r="V59" t="e">
        <f>VLOOKUP(Tabla1313[[#This Row],[Apoyo]],'LM SAP'!A:I,9,FALSE)</f>
        <v>#N/A</v>
      </c>
      <c r="W59" t="e">
        <f>VLOOKUP(Tabla1313[[#This Row],[Código Indra]],#REF!,1,FALSE)</f>
        <v>#REF!</v>
      </c>
    </row>
    <row r="60" spans="1:23" ht="45" x14ac:dyDescent="0.25">
      <c r="A60" s="64">
        <v>49</v>
      </c>
      <c r="B60" s="61" t="s">
        <v>440</v>
      </c>
      <c r="C60" s="76" t="s">
        <v>441</v>
      </c>
      <c r="D60" s="64" t="s">
        <v>182</v>
      </c>
      <c r="E60" s="76" t="s">
        <v>442</v>
      </c>
      <c r="F60" s="64">
        <v>1</v>
      </c>
      <c r="G60" s="61" t="s">
        <v>260</v>
      </c>
      <c r="H60" s="61" t="s">
        <v>261</v>
      </c>
      <c r="I60" s="64" t="s">
        <v>276</v>
      </c>
      <c r="J60" s="64"/>
      <c r="K60" s="213" t="s">
        <v>219</v>
      </c>
      <c r="L60" s="191">
        <v>60004556</v>
      </c>
      <c r="M60" s="192">
        <v>45572</v>
      </c>
      <c r="N60" s="192">
        <v>45631</v>
      </c>
      <c r="O60" s="242" t="s">
        <v>443</v>
      </c>
      <c r="P60" s="220" t="str">
        <f>IF(LEFT(B60,5)="09735",
    IF(ISNA(VLOOKUP(Tabla1313[[#This Row],[Apoyo]],'LM SAP'!A:G,1,FALSE)),
        "No Disponible",
        IF(VLOOKUP(Tabla1313[[#This Row],[Apoyo]],'LM SAP'!A:AD,9,FALSE)="RR",
            "Disponible",
            "Firmas SAP"
        )
    ),
    "CONSULTAR"
)</f>
        <v>CONSULTAR</v>
      </c>
      <c r="Q60" s="63" t="str">
        <f>MID(Tabla1313[[#This Row],[Código Indra]],1,13)</f>
        <v>0972825240500</v>
      </c>
      <c r="R60" s="63" t="s">
        <v>260</v>
      </c>
      <c r="S60" s="90" t="str">
        <f>IF(ISNA(VLOOKUP(Tabla1313[[#This Row],[Código Indra]],#REF!,1,FALSE)),"NO", "SI")</f>
        <v>SI</v>
      </c>
      <c r="T60" s="91"/>
      <c r="U60" t="s">
        <v>260</v>
      </c>
      <c r="V60" t="e">
        <f>VLOOKUP(Tabla1313[[#This Row],[Apoyo]],'LM SAP'!A:I,9,FALSE)</f>
        <v>#N/A</v>
      </c>
      <c r="W60" t="e">
        <f>VLOOKUP(Tabla1313[[#This Row],[Código Indra]],#REF!,1,FALSE)</f>
        <v>#REF!</v>
      </c>
    </row>
    <row r="61" spans="1:23" ht="45" x14ac:dyDescent="0.25">
      <c r="A61" s="64">
        <v>50</v>
      </c>
      <c r="B61" s="64" t="s">
        <v>444</v>
      </c>
      <c r="C61" s="75" t="s">
        <v>445</v>
      </c>
      <c r="D61" s="61" t="s">
        <v>182</v>
      </c>
      <c r="E61" s="75" t="s">
        <v>446</v>
      </c>
      <c r="F61" s="64">
        <v>1</v>
      </c>
      <c r="G61" s="61" t="s">
        <v>260</v>
      </c>
      <c r="H61" s="61" t="s">
        <v>261</v>
      </c>
      <c r="I61" s="61" t="s">
        <v>276</v>
      </c>
      <c r="J61" s="64"/>
      <c r="K61" s="213" t="s">
        <v>215</v>
      </c>
      <c r="L61" s="222">
        <v>60005362</v>
      </c>
      <c r="M61" s="223">
        <v>45636</v>
      </c>
      <c r="N61" s="192"/>
      <c r="O61" s="232"/>
      <c r="P61" s="220" t="str">
        <f>IF(LEFT(B61,5)="09735",
    IF(ISNA(VLOOKUP(Tabla1313[[#This Row],[Apoyo]],'LM SAP'!A:G,1,FALSE)),
        "No Disponible",
        IF(VLOOKUP(Tabla1313[[#This Row],[Apoyo]],'LM SAP'!A:AD,9,FALSE)="RR",
            "Disponible",
            "Firmas SAP"
        )
    ),
    "CONSULTAR"
)</f>
        <v>No Disponible</v>
      </c>
      <c r="Q61" s="63" t="str">
        <f>MID(Tabla1313[[#This Row],[Código Indra]],1,13)</f>
        <v>0973525240400</v>
      </c>
      <c r="R61" s="63" t="s">
        <v>255</v>
      </c>
      <c r="S61" s="90" t="str">
        <f>IF(ISNA(VLOOKUP(Tabla1313[[#This Row],[Código Indra]],#REF!,1,FALSE)),"NO", "SI")</f>
        <v>SI</v>
      </c>
      <c r="T61" s="91"/>
      <c r="U61" t="s">
        <v>260</v>
      </c>
      <c r="V61" t="e">
        <f>VLOOKUP(Tabla1313[[#This Row],[Apoyo]],'LM SAP'!A:I,9,FALSE)</f>
        <v>#N/A</v>
      </c>
      <c r="W61" t="e">
        <f>VLOOKUP(Tabla1313[[#This Row],[Código Indra]],#REF!,1,FALSE)</f>
        <v>#REF!</v>
      </c>
    </row>
    <row r="62" spans="1:23" ht="45" x14ac:dyDescent="0.25">
      <c r="A62" s="64">
        <v>51</v>
      </c>
      <c r="B62" s="61" t="s">
        <v>447</v>
      </c>
      <c r="C62" s="76" t="s">
        <v>448</v>
      </c>
      <c r="D62" s="64" t="s">
        <v>182</v>
      </c>
      <c r="E62" s="76" t="s">
        <v>449</v>
      </c>
      <c r="F62" s="64">
        <v>1</v>
      </c>
      <c r="G62" s="61" t="s">
        <v>260</v>
      </c>
      <c r="H62" s="61" t="s">
        <v>261</v>
      </c>
      <c r="I62" s="64" t="s">
        <v>276</v>
      </c>
      <c r="J62" s="64"/>
      <c r="K62" s="213" t="s">
        <v>216</v>
      </c>
      <c r="L62" s="222">
        <v>60005276</v>
      </c>
      <c r="M62" s="223">
        <v>45628</v>
      </c>
      <c r="N62" s="192"/>
      <c r="O62" s="239" t="s">
        <v>450</v>
      </c>
      <c r="P62" s="220" t="str">
        <f>IF(LEFT(B62,5)="09735",
    IF(ISNA(VLOOKUP(Tabla1313[[#This Row],[Apoyo]],'LM SAP'!A:G,1,FALSE)),
        "No Disponible",
        IF(VLOOKUP(Tabla1313[[#This Row],[Apoyo]],'LM SAP'!A:AD,9,FALSE)="RR",
            "Disponible",
            "Firmas SAP"
        )
    ),
    "CONSULTAR"
)</f>
        <v>No Disponible</v>
      </c>
      <c r="Q62" s="63" t="str">
        <f>MID(Tabla1313[[#This Row],[Código Indra]],1,13)</f>
        <v>0973525240600</v>
      </c>
      <c r="R62" s="63" t="s">
        <v>255</v>
      </c>
      <c r="S62" s="90" t="str">
        <f>IF(ISNA(VLOOKUP(Tabla1313[[#This Row],[Código Indra]],#REF!,1,FALSE)),"NO", "SI")</f>
        <v>SI</v>
      </c>
      <c r="T62" s="91"/>
      <c r="U62" t="s">
        <v>260</v>
      </c>
      <c r="V62" t="e">
        <f>VLOOKUP(Tabla1313[[#This Row],[Apoyo]],'LM SAP'!A:I,9,FALSE)</f>
        <v>#N/A</v>
      </c>
      <c r="W62" t="e">
        <f>VLOOKUP(Tabla1313[[#This Row],[Código Indra]],#REF!,1,FALSE)</f>
        <v>#REF!</v>
      </c>
    </row>
    <row r="63" spans="1:23" ht="45" x14ac:dyDescent="0.25">
      <c r="A63" s="64">
        <v>52</v>
      </c>
      <c r="B63" s="64" t="s">
        <v>451</v>
      </c>
      <c r="C63" s="75" t="s">
        <v>452</v>
      </c>
      <c r="D63" s="61" t="s">
        <v>185</v>
      </c>
      <c r="E63" s="75" t="s">
        <v>453</v>
      </c>
      <c r="F63" s="64">
        <v>1</v>
      </c>
      <c r="G63" s="61" t="s">
        <v>260</v>
      </c>
      <c r="H63" s="61" t="s">
        <v>261</v>
      </c>
      <c r="I63" s="61" t="s">
        <v>276</v>
      </c>
      <c r="J63" s="64"/>
      <c r="K63" s="213" t="s">
        <v>215</v>
      </c>
      <c r="L63" s="191">
        <v>60005366</v>
      </c>
      <c r="M63" s="192">
        <v>45637</v>
      </c>
      <c r="N63" s="192"/>
      <c r="O63" s="193"/>
      <c r="P63" s="220" t="str">
        <f>IF(LEFT(B63,5)="09735",
    IF(ISNA(VLOOKUP(Tabla1313[[#This Row],[Apoyo]],'LM SAP'!A:G,1,FALSE)),
        "No Disponible",
        IF(VLOOKUP(Tabla1313[[#This Row],[Apoyo]],'LM SAP'!A:AD,9,FALSE)="RR",
            "Disponible",
            "Firmas SAP"
        )
    ),
    "CONSULTAR"
)</f>
        <v>No Disponible</v>
      </c>
      <c r="Q63" s="63" t="str">
        <f>MID(Tabla1313[[#This Row],[Código Indra]],1,13)</f>
        <v>0973525270900</v>
      </c>
      <c r="R63" s="63" t="s">
        <v>255</v>
      </c>
      <c r="S63" s="90" t="str">
        <f>IF(ISNA(VLOOKUP(Tabla1313[[#This Row],[Código Indra]],#REF!,1,FALSE)),"NO", "SI")</f>
        <v>SI</v>
      </c>
      <c r="T63" s="91"/>
      <c r="U63" t="s">
        <v>260</v>
      </c>
      <c r="V63" t="e">
        <f>VLOOKUP(Tabla1313[[#This Row],[Apoyo]],'LM SAP'!A:I,9,FALSE)</f>
        <v>#N/A</v>
      </c>
      <c r="W63" t="e">
        <f>VLOOKUP(Tabla1313[[#This Row],[Código Indra]],#REF!,1,FALSE)</f>
        <v>#REF!</v>
      </c>
    </row>
    <row r="64" spans="1:23" ht="48" x14ac:dyDescent="0.25">
      <c r="A64" s="64">
        <v>53</v>
      </c>
      <c r="B64" s="61" t="s">
        <v>454</v>
      </c>
      <c r="C64" s="76" t="s">
        <v>455</v>
      </c>
      <c r="D64" s="64" t="s">
        <v>190</v>
      </c>
      <c r="E64" s="76" t="s">
        <v>456</v>
      </c>
      <c r="F64" s="64">
        <v>1</v>
      </c>
      <c r="G64" s="61" t="s">
        <v>260</v>
      </c>
      <c r="H64" s="61" t="s">
        <v>261</v>
      </c>
      <c r="I64" s="64" t="s">
        <v>321</v>
      </c>
      <c r="J64" s="64"/>
      <c r="K64" s="213" t="s">
        <v>220</v>
      </c>
      <c r="L64" s="191">
        <v>60004586</v>
      </c>
      <c r="M64" s="192">
        <v>45579</v>
      </c>
      <c r="N64" s="192">
        <v>45583</v>
      </c>
      <c r="O64" s="77" t="s">
        <v>457</v>
      </c>
      <c r="P64" s="220" t="str">
        <f>IF(LEFT(B64,5)="09735",
    IF(ISNA(VLOOKUP(Tabla1313[[#This Row],[Apoyo]],'LM SAP'!A:G,1,FALSE)),
        "No Disponible",
        IF(VLOOKUP(Tabla1313[[#This Row],[Apoyo]],'LM SAP'!A:AD,9,FALSE)="RR",
            "Disponible",
            "Firmas SAP"
        )
    ),
    "CONSULTAR"
)</f>
        <v>CONSULTAR</v>
      </c>
      <c r="Q64" s="63" t="str">
        <f>MID(Tabla1313[[#This Row],[Código Indra]],1,13)</f>
        <v>0972825271200</v>
      </c>
      <c r="R64" s="63" t="s">
        <v>255</v>
      </c>
      <c r="S64" s="90" t="str">
        <f>IF(ISNA(VLOOKUP(Tabla1313[[#This Row],[Código Indra]],#REF!,1,FALSE)),"NO", "SI")</f>
        <v>SI</v>
      </c>
      <c r="T64" s="91"/>
      <c r="U64" t="s">
        <v>260</v>
      </c>
      <c r="V64" t="e">
        <f>VLOOKUP(Tabla1313[[#This Row],[Apoyo]],'LM SAP'!A:I,9,FALSE)</f>
        <v>#N/A</v>
      </c>
      <c r="W64" t="e">
        <f>VLOOKUP(Tabla1313[[#This Row],[Código Indra]],#REF!,1,FALSE)</f>
        <v>#REF!</v>
      </c>
    </row>
    <row r="65" spans="1:23" ht="48" x14ac:dyDescent="0.25">
      <c r="A65" s="64">
        <v>54</v>
      </c>
      <c r="B65" s="64" t="s">
        <v>458</v>
      </c>
      <c r="C65" s="75" t="s">
        <v>459</v>
      </c>
      <c r="D65" s="61" t="s">
        <v>190</v>
      </c>
      <c r="E65" s="75" t="s">
        <v>460</v>
      </c>
      <c r="F65" s="64">
        <v>1</v>
      </c>
      <c r="G65" s="61" t="s">
        <v>260</v>
      </c>
      <c r="H65" s="61" t="s">
        <v>261</v>
      </c>
      <c r="I65" s="61" t="s">
        <v>321</v>
      </c>
      <c r="J65" s="64"/>
      <c r="K65" s="213" t="s">
        <v>215</v>
      </c>
      <c r="L65" s="222">
        <v>60004978</v>
      </c>
      <c r="M65" s="223">
        <v>45610</v>
      </c>
      <c r="N65" s="223"/>
      <c r="O65" s="241" t="s">
        <v>461</v>
      </c>
      <c r="P65" s="220" t="str">
        <f>IF(LEFT(B65,5)="09735",
    IF(ISNA(VLOOKUP(Tabla1313[[#This Row],[Apoyo]],'LM SAP'!A:G,1,FALSE)),
        "No Disponible",
        IF(VLOOKUP(Tabla1313[[#This Row],[Apoyo]],'LM SAP'!A:AD,9,FALSE)="RR",
            "Disponible",
            "Firmas SAP"
        )
    ),
    "CONSULTAR"
)</f>
        <v>CONSULTAR</v>
      </c>
      <c r="Q65" s="63" t="str">
        <f>MID(Tabla1313[[#This Row],[Código Indra]],1,13)</f>
        <v>0972825272800</v>
      </c>
      <c r="R65" s="63" t="s">
        <v>260</v>
      </c>
      <c r="S65" s="90" t="str">
        <f>IF(ISNA(VLOOKUP(Tabla1313[[#This Row],[Código Indra]],#REF!,1,FALSE)),"NO", "SI")</f>
        <v>SI</v>
      </c>
      <c r="T65" s="91"/>
      <c r="U65" t="s">
        <v>260</v>
      </c>
      <c r="V65" t="e">
        <f>VLOOKUP(Tabla1313[[#This Row],[Apoyo]],'LM SAP'!A:I,9,FALSE)</f>
        <v>#N/A</v>
      </c>
      <c r="W65" t="e">
        <f>VLOOKUP(Tabla1313[[#This Row],[Código Indra]],#REF!,1,FALSE)</f>
        <v>#REF!</v>
      </c>
    </row>
    <row r="66" spans="1:23" ht="84" x14ac:dyDescent="0.25">
      <c r="A66" s="64">
        <v>55</v>
      </c>
      <c r="B66" s="61" t="s">
        <v>462</v>
      </c>
      <c r="C66" s="151" t="s">
        <v>463</v>
      </c>
      <c r="D66" s="64" t="s">
        <v>50</v>
      </c>
      <c r="E66" s="76" t="s">
        <v>464</v>
      </c>
      <c r="F66" s="64">
        <v>1</v>
      </c>
      <c r="G66" s="61" t="s">
        <v>234</v>
      </c>
      <c r="H66" s="61" t="s">
        <v>428</v>
      </c>
      <c r="I66" s="64" t="s">
        <v>276</v>
      </c>
      <c r="J66" s="64"/>
      <c r="K66" s="213" t="s">
        <v>252</v>
      </c>
      <c r="L66" s="191">
        <v>60004830</v>
      </c>
      <c r="M66" s="192">
        <v>45600</v>
      </c>
      <c r="N66" s="192">
        <v>45614</v>
      </c>
      <c r="O66" s="238" t="s">
        <v>465</v>
      </c>
      <c r="P66" s="220" t="str">
        <f>IF(LEFT(B66,5)="09735",
    IF(ISNA(VLOOKUP(Tabla1313[[#This Row],[Apoyo]],'LM SAP'!A:G,1,FALSE)),
        "No Disponible",
        IF(VLOOKUP(Tabla1313[[#This Row],[Apoyo]],'LM SAP'!A:AD,9,FALSE)="RR",
            "Disponible",
            "Firmas SAP"
        )
    ),
    "CONSULTAR"
)</f>
        <v>No Disponible</v>
      </c>
      <c r="Q66" s="63" t="str">
        <f>MID(Tabla1313[[#This Row],[Código Indra]],1,13)</f>
        <v>0973525300100</v>
      </c>
      <c r="R66" s="63" t="s">
        <v>255</v>
      </c>
      <c r="S66" s="90" t="str">
        <f>IF(ISNA(VLOOKUP(Tabla1313[[#This Row],[Código Indra]],#REF!,1,FALSE)),"NO", "SI")</f>
        <v>SI</v>
      </c>
      <c r="T66" s="91"/>
      <c r="U66" t="s">
        <v>255</v>
      </c>
      <c r="V66" t="e">
        <f>VLOOKUP(Tabla1313[[#This Row],[Apoyo]],'LM SAP'!A:I,9,FALSE)</f>
        <v>#N/A</v>
      </c>
      <c r="W66" t="e">
        <f>VLOOKUP(Tabla1313[[#This Row],[Código Indra]],#REF!,1,FALSE)</f>
        <v>#REF!</v>
      </c>
    </row>
    <row r="67" spans="1:23" x14ac:dyDescent="0.25">
      <c r="A67" s="64">
        <v>59</v>
      </c>
      <c r="B67" s="61" t="s">
        <v>466</v>
      </c>
      <c r="C67" s="76" t="s">
        <v>467</v>
      </c>
      <c r="D67" s="64" t="s">
        <v>468</v>
      </c>
      <c r="E67" s="76" t="s">
        <v>469</v>
      </c>
      <c r="F67" s="64">
        <v>1</v>
      </c>
      <c r="G67" s="61" t="s">
        <v>234</v>
      </c>
      <c r="H67" s="64"/>
      <c r="I67" s="64" t="s">
        <v>251</v>
      </c>
      <c r="J67" s="64"/>
      <c r="K67" s="213" t="s">
        <v>212</v>
      </c>
      <c r="L67" s="191"/>
      <c r="M67" s="192"/>
      <c r="N67" s="192"/>
      <c r="O67" s="232" t="s">
        <v>470</v>
      </c>
      <c r="P67" s="220" t="str">
        <f>IF(LEFT(B67,5)="09735",
    IF(ISNA(VLOOKUP(Tabla1313[[#This Row],[Apoyo]],'LM SAP'!A:G,1,FALSE)),
        "No Disponible",
        IF(VLOOKUP(Tabla1313[[#This Row],[Apoyo]],'LM SAP'!A:AD,9,FALSE)="RR",
            "Disponible",
            "Firmas SAP"
        )
    ),
    "CONSULTAR"
)</f>
        <v>Disponible</v>
      </c>
      <c r="Q67" s="63" t="str">
        <f>MID(Tabla1313[[#This Row],[Código Indra]],1,13)</f>
        <v>0973525224000</v>
      </c>
      <c r="R67" s="63" t="s">
        <v>255</v>
      </c>
      <c r="S67" s="90" t="str">
        <f>IF(ISNA(VLOOKUP(Tabla1313[[#This Row],[Código Indra]],#REF!,1,FALSE)),"NO", "SI")</f>
        <v>SI</v>
      </c>
      <c r="T67" s="91"/>
      <c r="U67" t="s">
        <v>255</v>
      </c>
      <c r="V67" t="str">
        <f>VLOOKUP(Tabla1313[[#This Row],[Apoyo]],'LM SAP'!A:I,9,FALSE)</f>
        <v>RR</v>
      </c>
      <c r="W67" t="e">
        <f>VLOOKUP(Tabla1313[[#This Row],[Código Indra]],#REF!,1,FALSE)</f>
        <v>#REF!</v>
      </c>
    </row>
    <row r="68" spans="1:23" ht="30" x14ac:dyDescent="0.25">
      <c r="A68" s="64">
        <v>60</v>
      </c>
      <c r="B68" s="64" t="s">
        <v>471</v>
      </c>
      <c r="C68" s="75" t="s">
        <v>472</v>
      </c>
      <c r="D68" s="61" t="s">
        <v>65</v>
      </c>
      <c r="E68" s="75" t="s">
        <v>473</v>
      </c>
      <c r="F68" s="64">
        <v>1</v>
      </c>
      <c r="G68" s="61" t="s">
        <v>234</v>
      </c>
      <c r="H68" s="61" t="s">
        <v>250</v>
      </c>
      <c r="I68" s="61" t="s">
        <v>321</v>
      </c>
      <c r="J68" s="64" t="s">
        <v>474</v>
      </c>
      <c r="K68" s="213" t="s">
        <v>215</v>
      </c>
      <c r="L68" s="222">
        <v>60005256</v>
      </c>
      <c r="M68" s="223">
        <v>45630</v>
      </c>
      <c r="N68" s="223"/>
      <c r="O68" s="243" t="s">
        <v>475</v>
      </c>
      <c r="P68" s="220" t="str">
        <f>IF(LEFT(B68,5)="09735",
    IF(ISNA(VLOOKUP(Tabla1313[[#This Row],[Apoyo]],'LM SAP'!A:G,1,FALSE)),
        "No Disponible",
        IF(VLOOKUP(Tabla1313[[#This Row],[Apoyo]],'LM SAP'!A:AD,9,FALSE)="RR",
            "Disponible",
            "Firmas SAP"
        )
    ),
    "CONSULTAR"
)</f>
        <v>No Disponible</v>
      </c>
      <c r="Q68" s="63" t="str">
        <f>MID(Tabla1313[[#This Row],[Código Indra]],1,13)</f>
        <v>0973524191400</v>
      </c>
      <c r="R68" s="63" t="s">
        <v>255</v>
      </c>
      <c r="S68" s="90" t="str">
        <f>IF(ISNA(VLOOKUP(Tabla1313[[#This Row],[Código Indra]],#REF!,1,FALSE)),"NO", "SI")</f>
        <v>SI</v>
      </c>
      <c r="T68" s="91"/>
      <c r="U68" t="s">
        <v>227</v>
      </c>
      <c r="V68" t="e">
        <f>VLOOKUP(Tabla1313[[#This Row],[Apoyo]],'LM SAP'!A:I,9,FALSE)</f>
        <v>#N/A</v>
      </c>
      <c r="W68" t="e">
        <f>VLOOKUP(Tabla1313[[#This Row],[Código Indra]],#REF!,1,FALSE)</f>
        <v>#REF!</v>
      </c>
    </row>
    <row r="69" spans="1:23" s="179" customFormat="1" ht="30" x14ac:dyDescent="0.25">
      <c r="A69" s="160">
        <v>61</v>
      </c>
      <c r="B69" s="159" t="s">
        <v>476</v>
      </c>
      <c r="C69" s="175" t="s">
        <v>477</v>
      </c>
      <c r="D69" s="160" t="s">
        <v>478</v>
      </c>
      <c r="E69" s="175" t="s">
        <v>479</v>
      </c>
      <c r="F69" s="160">
        <v>1</v>
      </c>
      <c r="G69" s="159" t="s">
        <v>234</v>
      </c>
      <c r="H69" s="159" t="s">
        <v>480</v>
      </c>
      <c r="I69" s="160" t="s">
        <v>321</v>
      </c>
      <c r="J69" s="160" t="s">
        <v>474</v>
      </c>
      <c r="K69" s="244" t="s">
        <v>221</v>
      </c>
      <c r="L69" s="194">
        <v>60004738</v>
      </c>
      <c r="M69" s="195">
        <v>45607</v>
      </c>
      <c r="N69" s="195">
        <v>45611</v>
      </c>
      <c r="O69" s="245" t="s">
        <v>281</v>
      </c>
      <c r="P69" s="246" t="str">
        <f>IF(LEFT(B69,5)="09735",
    IF(ISNA(VLOOKUP(Tabla1313[[#This Row],[Apoyo]],'LM SAP'!A:G,1,FALSE)),
        "No Disponible",
        IF(VLOOKUP(Tabla1313[[#This Row],[Apoyo]],'LM SAP'!A:AD,9,FALSE)="RR",
            "Disponible",
            "Firmas SAP"
        )
    ),
    "CONSULTAR"
)</f>
        <v>No Disponible</v>
      </c>
      <c r="Q69" s="176" t="str">
        <f>MID(Tabla1313[[#This Row],[Código Indra]],1,13)</f>
        <v>0973545000200</v>
      </c>
      <c r="R69" s="63" t="s">
        <v>255</v>
      </c>
      <c r="S69" s="177" t="str">
        <f>IF(ISNA(VLOOKUP(Tabla1313[[#This Row],[Código Indra]],#REF!,1,FALSE)),"NO", "SI")</f>
        <v>SI</v>
      </c>
      <c r="T69" s="178"/>
      <c r="U69" t="s">
        <v>256</v>
      </c>
      <c r="V69" t="e">
        <f>VLOOKUP(Tabla1313[[#This Row],[Apoyo]],'LM SAP'!A:I,9,FALSE)</f>
        <v>#N/A</v>
      </c>
      <c r="W69" s="179" t="e">
        <f>VLOOKUP(Tabla1313[[#This Row],[Código Indra]],#REF!,1,FALSE)</f>
        <v>#REF!</v>
      </c>
    </row>
    <row r="70" spans="1:23" ht="36" x14ac:dyDescent="0.25">
      <c r="A70" s="64">
        <v>62</v>
      </c>
      <c r="B70" s="61" t="s">
        <v>481</v>
      </c>
      <c r="C70" s="75" t="s">
        <v>482</v>
      </c>
      <c r="D70" s="61" t="s">
        <v>478</v>
      </c>
      <c r="E70" s="75" t="s">
        <v>483</v>
      </c>
      <c r="F70" s="64">
        <v>1</v>
      </c>
      <c r="G70" s="61" t="s">
        <v>234</v>
      </c>
      <c r="H70" s="64"/>
      <c r="I70" s="61" t="s">
        <v>321</v>
      </c>
      <c r="J70" s="64" t="s">
        <v>474</v>
      </c>
      <c r="K70" s="213" t="s">
        <v>217</v>
      </c>
      <c r="L70" s="222">
        <v>60004739</v>
      </c>
      <c r="M70" s="223">
        <v>45607</v>
      </c>
      <c r="N70" s="223">
        <v>45621</v>
      </c>
      <c r="O70" s="219" t="s">
        <v>484</v>
      </c>
      <c r="P70" s="220" t="str">
        <f>IF(LEFT(B70,5)="09735",
    IF(ISNA(VLOOKUP(Tabla1313[[#This Row],[Apoyo]],'LM SAP'!A:G,1,FALSE)),
        "No Disponible",
        IF(VLOOKUP(Tabla1313[[#This Row],[Apoyo]],'LM SAP'!A:AD,9,FALSE)="RR",
            "Disponible",
            "Firmas SAP"
        )
    ),
    "CONSULTAR"
)</f>
        <v>No Disponible</v>
      </c>
      <c r="Q70" s="63" t="str">
        <f>MID(Tabla1313[[#This Row],[Código Indra]],1,13)</f>
        <v>0973545000400</v>
      </c>
      <c r="R70" s="63" t="s">
        <v>255</v>
      </c>
      <c r="S70" s="90" t="str">
        <f>IF(ISNA(VLOOKUP(Tabla1313[[#This Row],[Código Indra]],#REF!,1,FALSE)),"NO", "SI")</f>
        <v>SI</v>
      </c>
      <c r="T70" s="91"/>
      <c r="U70" t="s">
        <v>256</v>
      </c>
      <c r="V70" t="e">
        <f>VLOOKUP(Tabla1313[[#This Row],[Apoyo]],'LM SAP'!A:I,9,FALSE)</f>
        <v>#N/A</v>
      </c>
      <c r="W70" t="e">
        <f>VLOOKUP(Tabla1313[[#This Row],[Código Indra]],#REF!,1,FALSE)</f>
        <v>#REF!</v>
      </c>
    </row>
    <row r="71" spans="1:23" ht="48" x14ac:dyDescent="0.25">
      <c r="A71" s="64">
        <v>63</v>
      </c>
      <c r="B71" s="61" t="s">
        <v>485</v>
      </c>
      <c r="C71" s="76" t="s">
        <v>486</v>
      </c>
      <c r="D71" s="64" t="s">
        <v>478</v>
      </c>
      <c r="E71" s="76" t="s">
        <v>487</v>
      </c>
      <c r="F71" s="64">
        <v>1</v>
      </c>
      <c r="G71" s="61" t="s">
        <v>234</v>
      </c>
      <c r="H71" s="64"/>
      <c r="I71" s="64" t="s">
        <v>321</v>
      </c>
      <c r="J71" s="64"/>
      <c r="K71" s="184" t="s">
        <v>221</v>
      </c>
      <c r="L71" s="191">
        <v>60004585</v>
      </c>
      <c r="M71" s="192">
        <v>45579</v>
      </c>
      <c r="N71" s="192">
        <v>45583</v>
      </c>
      <c r="O71" s="169" t="s">
        <v>488</v>
      </c>
      <c r="P71" s="226" t="str">
        <f>IF(LEFT(B71,5)="09735",
    IF(ISNA(VLOOKUP(Tabla1313[[#This Row],[Apoyo]],'LM SAP'!A:G,1,FALSE)),
        "No Disponible",
        IF(VLOOKUP(Tabla1313[[#This Row],[Apoyo]],'LM SAP'!A:AD,9,FALSE)="RR",
            "Disponible",
            "Firmas SAP"
        )
    ),
    "CONSULTAR"
)</f>
        <v>No Disponible</v>
      </c>
      <c r="Q71" s="165" t="str">
        <f>MID(Tabla1313[[#This Row],[Código Indra]],1,13)</f>
        <v>0973545000500</v>
      </c>
      <c r="R71" s="63" t="s">
        <v>255</v>
      </c>
      <c r="S71" s="166" t="str">
        <f>IF(ISNA(VLOOKUP(Tabla1313[[#This Row],[Código Indra]],#REF!,1,FALSE)),"NO", "SI")</f>
        <v>SI</v>
      </c>
      <c r="T71" s="7" t="s">
        <v>289</v>
      </c>
      <c r="U71" t="s">
        <v>256</v>
      </c>
      <c r="V71" t="e">
        <f>VLOOKUP(Tabla1313[[#This Row],[Apoyo]],'LM SAP'!A:I,9,FALSE)</f>
        <v>#N/A</v>
      </c>
      <c r="W71" t="e">
        <f>VLOOKUP(Tabla1313[[#This Row],[Código Indra]],#REF!,1,FALSE)</f>
        <v>#REF!</v>
      </c>
    </row>
    <row r="72" spans="1:23" ht="60" x14ac:dyDescent="0.25">
      <c r="A72" s="64">
        <v>64</v>
      </c>
      <c r="B72" s="64" t="s">
        <v>489</v>
      </c>
      <c r="C72" s="75" t="s">
        <v>490</v>
      </c>
      <c r="D72" s="61" t="s">
        <v>478</v>
      </c>
      <c r="E72" s="75" t="s">
        <v>491</v>
      </c>
      <c r="F72" s="64">
        <v>1</v>
      </c>
      <c r="G72" s="61" t="s">
        <v>234</v>
      </c>
      <c r="H72" s="64"/>
      <c r="I72" s="61" t="s">
        <v>321</v>
      </c>
      <c r="J72" s="64" t="s">
        <v>474</v>
      </c>
      <c r="K72" s="213" t="s">
        <v>252</v>
      </c>
      <c r="L72" s="191">
        <v>60004599</v>
      </c>
      <c r="M72" s="192">
        <v>45586</v>
      </c>
      <c r="N72" s="192">
        <v>45595</v>
      </c>
      <c r="O72" s="232" t="s">
        <v>492</v>
      </c>
      <c r="P72" s="220" t="str">
        <f>IF(LEFT(B72,5)="09735",
    IF(ISNA(VLOOKUP(Tabla1313[[#This Row],[Apoyo]],'LM SAP'!A:G,1,FALSE)),
        "No Disponible",
        IF(VLOOKUP(Tabla1313[[#This Row],[Apoyo]],'LM SAP'!A:AD,9,FALSE)="RR",
            "Disponible",
            "Firmas SAP"
        )
    ),
    "CONSULTAR"
)</f>
        <v>No Disponible</v>
      </c>
      <c r="Q72" s="63" t="str">
        <f>MID(Tabla1313[[#This Row],[Código Indra]],1,13)</f>
        <v>0973545000600</v>
      </c>
      <c r="R72" s="63" t="s">
        <v>255</v>
      </c>
      <c r="S72" s="90" t="str">
        <f>IF(ISNA(VLOOKUP(Tabla1313[[#This Row],[Código Indra]],#REF!,1,FALSE)),"NO", "SI")</f>
        <v>SI</v>
      </c>
      <c r="T72" s="91"/>
      <c r="U72" t="s">
        <v>256</v>
      </c>
      <c r="V72" t="e">
        <f>VLOOKUP(Tabla1313[[#This Row],[Apoyo]],'LM SAP'!A:I,9,FALSE)</f>
        <v>#N/A</v>
      </c>
      <c r="W72" t="e">
        <f>VLOOKUP(Tabla1313[[#This Row],[Código Indra]],#REF!,1,FALSE)</f>
        <v>#REF!</v>
      </c>
    </row>
    <row r="73" spans="1:23" ht="48" x14ac:dyDescent="0.25">
      <c r="A73" s="64">
        <v>65</v>
      </c>
      <c r="B73" s="61" t="s">
        <v>493</v>
      </c>
      <c r="C73" s="76" t="s">
        <v>494</v>
      </c>
      <c r="D73" s="64" t="s">
        <v>478</v>
      </c>
      <c r="E73" s="76" t="s">
        <v>495</v>
      </c>
      <c r="F73" s="64">
        <v>1</v>
      </c>
      <c r="G73" s="61" t="s">
        <v>234</v>
      </c>
      <c r="H73" s="64"/>
      <c r="I73" s="64" t="s">
        <v>321</v>
      </c>
      <c r="J73" s="64" t="s">
        <v>474</v>
      </c>
      <c r="K73" s="213" t="s">
        <v>220</v>
      </c>
      <c r="L73" s="191">
        <v>60004660</v>
      </c>
      <c r="M73" s="192">
        <v>45586</v>
      </c>
      <c r="N73" s="192">
        <v>45601</v>
      </c>
      <c r="O73" s="232" t="s">
        <v>496</v>
      </c>
      <c r="P73" s="220" t="str">
        <f>IF(LEFT(B73,5)="09735",
    IF(ISNA(VLOOKUP(Tabla1313[[#This Row],[Apoyo]],'LM SAP'!A:G,1,FALSE)),
        "No Disponible",
        IF(VLOOKUP(Tabla1313[[#This Row],[Apoyo]],'LM SAP'!A:AD,9,FALSE)="RR",
            "Disponible",
            "Firmas SAP"
        )
    ),
    "CONSULTAR"
)</f>
        <v>No Disponible</v>
      </c>
      <c r="Q73" s="63" t="str">
        <f>MID(Tabla1313[[#This Row],[Código Indra]],1,13)</f>
        <v>0973545000700</v>
      </c>
      <c r="R73" s="63" t="s">
        <v>255</v>
      </c>
      <c r="S73" s="90" t="str">
        <f>IF(ISNA(VLOOKUP(Tabla1313[[#This Row],[Código Indra]],#REF!,1,FALSE)),"NO", "SI")</f>
        <v>SI</v>
      </c>
      <c r="T73" s="91">
        <v>20</v>
      </c>
      <c r="U73" t="s">
        <v>256</v>
      </c>
      <c r="V73" t="e">
        <f>VLOOKUP(Tabla1313[[#This Row],[Apoyo]],'LM SAP'!A:I,9,FALSE)</f>
        <v>#N/A</v>
      </c>
      <c r="W73" t="e">
        <f>VLOOKUP(Tabla1313[[#This Row],[Código Indra]],#REF!,1,FALSE)</f>
        <v>#REF!</v>
      </c>
    </row>
    <row r="74" spans="1:23" ht="30" x14ac:dyDescent="0.25">
      <c r="A74" s="64">
        <v>66</v>
      </c>
      <c r="B74" s="64" t="s">
        <v>67</v>
      </c>
      <c r="C74" s="75" t="s">
        <v>497</v>
      </c>
      <c r="D74" s="61" t="s">
        <v>68</v>
      </c>
      <c r="E74" s="75" t="s">
        <v>498</v>
      </c>
      <c r="F74" s="64">
        <v>1</v>
      </c>
      <c r="G74" s="61" t="s">
        <v>234</v>
      </c>
      <c r="H74" s="61" t="s">
        <v>250</v>
      </c>
      <c r="I74" s="61" t="s">
        <v>276</v>
      </c>
      <c r="J74" s="64" t="s">
        <v>474</v>
      </c>
      <c r="K74" s="213" t="s">
        <v>212</v>
      </c>
      <c r="L74" s="191"/>
      <c r="M74" s="192"/>
      <c r="N74" s="192"/>
      <c r="O74" s="247" t="s">
        <v>499</v>
      </c>
      <c r="P74" s="220" t="str">
        <f>IF(LEFT(B74,5)="09735",
    IF(ISNA(VLOOKUP(Tabla1313[[#This Row],[Apoyo]],'LM SAP'!A:G,1,FALSE)),
        "No Disponible",
        IF(VLOOKUP(Tabla1313[[#This Row],[Apoyo]],'LM SAP'!A:AD,9,FALSE)="RR",
            "Disponible",
            "Firmas SAP"
        )
    ),
    "CONSULTAR"
)</f>
        <v>No Disponible</v>
      </c>
      <c r="Q74" s="63" t="str">
        <f>MID(Tabla1313[[#This Row],[Código Indra]],1,13)</f>
        <v>0973524191500</v>
      </c>
      <c r="R74" s="63" t="s">
        <v>255</v>
      </c>
      <c r="S74" s="90" t="str">
        <f>IF(ISNA(VLOOKUP(Tabla1313[[#This Row],[Código Indra]],#REF!,1,FALSE)),"NO", "SI")</f>
        <v>SI</v>
      </c>
      <c r="T74" s="91"/>
      <c r="U74" t="s">
        <v>227</v>
      </c>
      <c r="V74" t="e">
        <f>VLOOKUP(Tabla1313[[#This Row],[Apoyo]],'LM SAP'!A:I,9,FALSE)</f>
        <v>#N/A</v>
      </c>
      <c r="W74" t="e">
        <f>VLOOKUP(Tabla1313[[#This Row],[Código Indra]],#REF!,1,FALSE)</f>
        <v>#REF!</v>
      </c>
    </row>
    <row r="75" spans="1:23" x14ac:dyDescent="0.25">
      <c r="A75" s="64">
        <v>67</v>
      </c>
      <c r="B75" s="61" t="s">
        <v>500</v>
      </c>
      <c r="C75" s="76" t="s">
        <v>501</v>
      </c>
      <c r="D75" s="64" t="s">
        <v>478</v>
      </c>
      <c r="E75" s="76"/>
      <c r="F75" s="64">
        <v>1</v>
      </c>
      <c r="G75" s="61" t="s">
        <v>234</v>
      </c>
      <c r="H75" s="61" t="s">
        <v>480</v>
      </c>
      <c r="I75" s="64" t="s">
        <v>276</v>
      </c>
      <c r="J75" s="64" t="s">
        <v>474</v>
      </c>
      <c r="K75" s="184" t="s">
        <v>221</v>
      </c>
      <c r="L75" s="191">
        <v>60004533</v>
      </c>
      <c r="M75" s="192">
        <v>45568</v>
      </c>
      <c r="N75" s="208" t="s">
        <v>253</v>
      </c>
      <c r="O75" s="248" t="s">
        <v>281</v>
      </c>
      <c r="P75" s="226" t="str">
        <f>IF(LEFT(B75,5)="09735",
    IF(ISNA(VLOOKUP(Tabla1313[[#This Row],[Apoyo]],'LM SAP'!A:G,1,FALSE)),
        "No Disponible",
        IF(VLOOKUP(Tabla1313[[#This Row],[Apoyo]],'LM SAP'!A:AD,9,FALSE)="RR",
            "Disponible",
            "Firmas SAP"
        )
    ),
    "CONSULTAR"
)</f>
        <v>No Disponible</v>
      </c>
      <c r="Q75" s="165" t="str">
        <f>MID(Tabla1313[[#This Row],[Código Indra]],1,13)</f>
        <v>0973545001000</v>
      </c>
      <c r="R75" s="63" t="s">
        <v>255</v>
      </c>
      <c r="S75" s="166" t="str">
        <f>IF(ISNA(VLOOKUP(Tabla1313[[#This Row],[Código Indra]],#REF!,1,FALSE)),"NO", "SI")</f>
        <v>SI</v>
      </c>
      <c r="T75" s="8"/>
      <c r="U75" t="s">
        <v>256</v>
      </c>
      <c r="V75" t="e">
        <f>VLOOKUP(Tabla1313[[#This Row],[Apoyo]],'LM SAP'!A:I,9,FALSE)</f>
        <v>#N/A</v>
      </c>
      <c r="W75" t="e">
        <f>VLOOKUP(Tabla1313[[#This Row],[Código Indra]],#REF!,1,FALSE)</f>
        <v>#REF!</v>
      </c>
    </row>
    <row r="76" spans="1:23" x14ac:dyDescent="0.25">
      <c r="A76" s="64">
        <v>68</v>
      </c>
      <c r="B76" s="64" t="s">
        <v>502</v>
      </c>
      <c r="C76" s="75" t="s">
        <v>503</v>
      </c>
      <c r="D76" s="61" t="s">
        <v>478</v>
      </c>
      <c r="E76" s="76"/>
      <c r="F76" s="64">
        <v>1</v>
      </c>
      <c r="G76" s="61" t="s">
        <v>234</v>
      </c>
      <c r="H76" s="64"/>
      <c r="I76" s="61" t="s">
        <v>276</v>
      </c>
      <c r="J76" s="64" t="s">
        <v>474</v>
      </c>
      <c r="K76" s="213" t="s">
        <v>219</v>
      </c>
      <c r="L76" s="191">
        <v>60004534</v>
      </c>
      <c r="M76" s="192">
        <v>45568</v>
      </c>
      <c r="N76" s="192">
        <v>45601</v>
      </c>
      <c r="O76" s="232"/>
      <c r="P76" s="220" t="str">
        <f>IF(LEFT(B76,5)="09735",
    IF(ISNA(VLOOKUP(Tabla1313[[#This Row],[Apoyo]],'LM SAP'!A:G,1,FALSE)),
        "No Disponible",
        IF(VLOOKUP(Tabla1313[[#This Row],[Apoyo]],'LM SAP'!A:AD,9,FALSE)="RR",
            "Disponible",
            "Firmas SAP"
        )
    ),
    "CONSULTAR"
)</f>
        <v>No Disponible</v>
      </c>
      <c r="Q76" s="63" t="str">
        <f>MID(Tabla1313[[#This Row],[Código Indra]],1,13)</f>
        <v>0973545001200</v>
      </c>
      <c r="R76" s="63" t="s">
        <v>255</v>
      </c>
      <c r="S76" s="90" t="str">
        <f>IF(ISNA(VLOOKUP(Tabla1313[[#This Row],[Código Indra]],#REF!,1,FALSE)),"NO", "SI")</f>
        <v>SI</v>
      </c>
      <c r="T76" s="91"/>
      <c r="U76" t="s">
        <v>256</v>
      </c>
      <c r="V76" t="e">
        <f>VLOOKUP(Tabla1313[[#This Row],[Apoyo]],'LM SAP'!A:I,9,FALSE)</f>
        <v>#N/A</v>
      </c>
      <c r="W76" t="e">
        <f>VLOOKUP(Tabla1313[[#This Row],[Código Indra]],#REF!,1,FALSE)</f>
        <v>#REF!</v>
      </c>
    </row>
    <row r="77" spans="1:23" x14ac:dyDescent="0.25">
      <c r="A77" s="64">
        <v>69</v>
      </c>
      <c r="B77" s="61" t="s">
        <v>504</v>
      </c>
      <c r="C77" s="76" t="s">
        <v>505</v>
      </c>
      <c r="D77" s="64" t="s">
        <v>478</v>
      </c>
      <c r="E77" s="76"/>
      <c r="F77" s="64">
        <v>1</v>
      </c>
      <c r="G77" s="61" t="s">
        <v>234</v>
      </c>
      <c r="H77" s="61" t="s">
        <v>480</v>
      </c>
      <c r="I77" s="64" t="s">
        <v>276</v>
      </c>
      <c r="J77" s="64" t="s">
        <v>474</v>
      </c>
      <c r="K77" s="184" t="s">
        <v>221</v>
      </c>
      <c r="L77" s="191">
        <v>60004535</v>
      </c>
      <c r="M77" s="192">
        <v>45568</v>
      </c>
      <c r="N77" s="208" t="s">
        <v>253</v>
      </c>
      <c r="O77" s="248" t="s">
        <v>281</v>
      </c>
      <c r="P77" s="226" t="str">
        <f>IF(LEFT(B77,5)="09735",
    IF(ISNA(VLOOKUP(Tabla1313[[#This Row],[Apoyo]],'LM SAP'!A:G,1,FALSE)),
        "No Disponible",
        IF(VLOOKUP(Tabla1313[[#This Row],[Apoyo]],'LM SAP'!A:AD,9,FALSE)="RR",
            "Disponible",
            "Firmas SAP"
        )
    ),
    "CONSULTAR"
)</f>
        <v>No Disponible</v>
      </c>
      <c r="Q77" s="165" t="str">
        <f>MID(Tabla1313[[#This Row],[Código Indra]],1,13)</f>
        <v>0973545001300</v>
      </c>
      <c r="R77" s="63" t="s">
        <v>255</v>
      </c>
      <c r="S77" s="166" t="str">
        <f>IF(ISNA(VLOOKUP(Tabla1313[[#This Row],[Código Indra]],#REF!,1,FALSE)),"NO", "SI")</f>
        <v>SI</v>
      </c>
      <c r="T77" s="8"/>
      <c r="U77" t="s">
        <v>256</v>
      </c>
      <c r="V77" t="e">
        <f>VLOOKUP(Tabla1313[[#This Row],[Apoyo]],'LM SAP'!A:I,9,FALSE)</f>
        <v>#N/A</v>
      </c>
      <c r="W77" t="e">
        <f>VLOOKUP(Tabla1313[[#This Row],[Código Indra]],#REF!,1,FALSE)</f>
        <v>#REF!</v>
      </c>
    </row>
    <row r="78" spans="1:23" x14ac:dyDescent="0.25">
      <c r="A78" s="64">
        <v>70</v>
      </c>
      <c r="B78" s="64" t="s">
        <v>506</v>
      </c>
      <c r="C78" s="75" t="s">
        <v>507</v>
      </c>
      <c r="D78" s="61" t="s">
        <v>478</v>
      </c>
      <c r="E78" s="76"/>
      <c r="F78" s="64">
        <v>1</v>
      </c>
      <c r="G78" s="61" t="s">
        <v>234</v>
      </c>
      <c r="H78" s="61" t="s">
        <v>480</v>
      </c>
      <c r="I78" s="61" t="s">
        <v>276</v>
      </c>
      <c r="J78" s="64" t="s">
        <v>474</v>
      </c>
      <c r="K78" s="213" t="s">
        <v>221</v>
      </c>
      <c r="L78" s="191">
        <v>60004536</v>
      </c>
      <c r="M78" s="192">
        <v>45568</v>
      </c>
      <c r="N78" s="192">
        <v>45628</v>
      </c>
      <c r="O78" s="149" t="s">
        <v>281</v>
      </c>
      <c r="P78" s="220" t="str">
        <f>IF(LEFT(B78,5)="09735",
    IF(ISNA(VLOOKUP(Tabla1313[[#This Row],[Apoyo]],'LM SAP'!A:G,1,FALSE)),
        "No Disponible",
        IF(VLOOKUP(Tabla1313[[#This Row],[Apoyo]],'LM SAP'!A:AD,9,FALSE)="RR",
            "Disponible",
            "Firmas SAP"
        )
    ),
    "CONSULTAR"
)</f>
        <v>No Disponible</v>
      </c>
      <c r="Q78" s="63" t="str">
        <f>MID(Tabla1313[[#This Row],[Código Indra]],1,13)</f>
        <v>0973545001400</v>
      </c>
      <c r="R78" s="63" t="s">
        <v>255</v>
      </c>
      <c r="S78" s="90" t="str">
        <f>IF(ISNA(VLOOKUP(Tabla1313[[#This Row],[Código Indra]],#REF!,1,FALSE)),"NO", "SI")</f>
        <v>SI</v>
      </c>
      <c r="T78" s="91"/>
      <c r="U78" t="s">
        <v>256</v>
      </c>
      <c r="V78" t="e">
        <f>VLOOKUP(Tabla1313[[#This Row],[Apoyo]],'LM SAP'!A:I,9,FALSE)</f>
        <v>#N/A</v>
      </c>
      <c r="W78" t="e">
        <f>VLOOKUP(Tabla1313[[#This Row],[Código Indra]],#REF!,1,FALSE)</f>
        <v>#REF!</v>
      </c>
    </row>
    <row r="79" spans="1:23" ht="36" x14ac:dyDescent="0.25">
      <c r="A79" s="64">
        <v>72</v>
      </c>
      <c r="B79" s="61" t="s">
        <v>508</v>
      </c>
      <c r="C79" s="76" t="s">
        <v>509</v>
      </c>
      <c r="D79" s="64" t="s">
        <v>478</v>
      </c>
      <c r="E79" s="76" t="s">
        <v>510</v>
      </c>
      <c r="F79" s="64">
        <v>1</v>
      </c>
      <c r="G79" s="61" t="s">
        <v>234</v>
      </c>
      <c r="H79" s="61" t="s">
        <v>480</v>
      </c>
      <c r="I79" s="64" t="s">
        <v>321</v>
      </c>
      <c r="J79" s="64" t="s">
        <v>474</v>
      </c>
      <c r="K79" s="213" t="s">
        <v>219</v>
      </c>
      <c r="L79" s="191">
        <v>60004723</v>
      </c>
      <c r="M79" s="192">
        <v>45595</v>
      </c>
      <c r="N79" s="192">
        <v>45602</v>
      </c>
      <c r="O79" s="196" t="s">
        <v>511</v>
      </c>
      <c r="P79" s="220" t="str">
        <f>IF(LEFT(B79,5)="09735",
    IF(ISNA(VLOOKUP(Tabla1313[[#This Row],[Apoyo]],'LM SAP'!A:G,1,FALSE)),
        "No Disponible",
        IF(VLOOKUP(Tabla1313[[#This Row],[Apoyo]],'LM SAP'!A:AD,9,FALSE)="RR",
            "Disponible",
            "Firmas SAP"
        )
    ),
    "CONSULTAR"
)</f>
        <v>No Disponible</v>
      </c>
      <c r="Q79" s="63" t="str">
        <f>MID(Tabla1313[[#This Row],[Código Indra]],1,13)</f>
        <v>0973545002300</v>
      </c>
      <c r="R79" s="63" t="s">
        <v>255</v>
      </c>
      <c r="S79" s="90" t="str">
        <f>IF(ISNA(VLOOKUP(Tabla1313[[#This Row],[Código Indra]],#REF!,1,FALSE)),"NO", "SI")</f>
        <v>SI</v>
      </c>
      <c r="T79" s="91"/>
      <c r="U79" t="s">
        <v>256</v>
      </c>
      <c r="V79" t="e">
        <f>VLOOKUP(Tabla1313[[#This Row],[Apoyo]],'LM SAP'!A:I,9,FALSE)</f>
        <v>#N/A</v>
      </c>
      <c r="W79" t="e">
        <f>VLOOKUP(Tabla1313[[#This Row],[Código Indra]],#REF!,1,FALSE)</f>
        <v>#REF!</v>
      </c>
    </row>
    <row r="80" spans="1:23" ht="48" x14ac:dyDescent="0.25">
      <c r="A80" s="64">
        <v>73</v>
      </c>
      <c r="B80" s="64" t="s">
        <v>512</v>
      </c>
      <c r="C80" s="75" t="s">
        <v>513</v>
      </c>
      <c r="D80" s="61" t="s">
        <v>478</v>
      </c>
      <c r="E80" s="75" t="s">
        <v>514</v>
      </c>
      <c r="F80" s="64">
        <v>1</v>
      </c>
      <c r="G80" s="61" t="s">
        <v>234</v>
      </c>
      <c r="H80" s="64"/>
      <c r="I80" s="61" t="s">
        <v>321</v>
      </c>
      <c r="J80" s="64" t="s">
        <v>474</v>
      </c>
      <c r="K80" s="184" t="s">
        <v>221</v>
      </c>
      <c r="L80" s="191">
        <v>60004537</v>
      </c>
      <c r="M80" s="192">
        <v>45568</v>
      </c>
      <c r="N80" s="192">
        <v>45579</v>
      </c>
      <c r="O80" s="226" t="s">
        <v>515</v>
      </c>
      <c r="P80" s="226" t="str">
        <f>IF(LEFT(B80,5)="09735",
    IF(ISNA(VLOOKUP(Tabla1313[[#This Row],[Apoyo]],'LM SAP'!A:G,1,FALSE)),
        "No Disponible",
        IF(VLOOKUP(Tabla1313[[#This Row],[Apoyo]],'LM SAP'!A:AD,9,FALSE)="RR",
            "Disponible",
            "Firmas SAP"
        )
    ),
    "CONSULTAR"
)</f>
        <v>No Disponible</v>
      </c>
      <c r="Q80" s="165" t="str">
        <f>MID(Tabla1313[[#This Row],[Código Indra]],1,13)</f>
        <v>0973545002200</v>
      </c>
      <c r="R80" s="63" t="s">
        <v>255</v>
      </c>
      <c r="S80" s="166" t="str">
        <f>IF(ISNA(VLOOKUP(Tabla1313[[#This Row],[Código Indra]],#REF!,1,FALSE)),"NO", "SI")</f>
        <v>SI</v>
      </c>
      <c r="T80" s="7" t="s">
        <v>289</v>
      </c>
      <c r="U80" t="s">
        <v>256</v>
      </c>
      <c r="V80" t="e">
        <f>VLOOKUP(Tabla1313[[#This Row],[Apoyo]],'LM SAP'!A:I,9,FALSE)</f>
        <v>#N/A</v>
      </c>
      <c r="W80" t="e">
        <f>VLOOKUP(Tabla1313[[#This Row],[Código Indra]],#REF!,1,FALSE)</f>
        <v>#REF!</v>
      </c>
    </row>
    <row r="81" spans="1:23" ht="36" x14ac:dyDescent="0.25">
      <c r="A81" s="64">
        <v>74</v>
      </c>
      <c r="B81" s="61" t="s">
        <v>516</v>
      </c>
      <c r="C81" s="76" t="s">
        <v>517</v>
      </c>
      <c r="D81" s="64" t="s">
        <v>478</v>
      </c>
      <c r="E81" s="76" t="s">
        <v>518</v>
      </c>
      <c r="F81" s="64">
        <v>1</v>
      </c>
      <c r="G81" s="61" t="s">
        <v>234</v>
      </c>
      <c r="H81" s="64"/>
      <c r="I81" s="64" t="s">
        <v>321</v>
      </c>
      <c r="J81" s="64" t="s">
        <v>474</v>
      </c>
      <c r="K81" s="184" t="s">
        <v>221</v>
      </c>
      <c r="L81" s="191">
        <v>60004492</v>
      </c>
      <c r="M81" s="192">
        <v>45566</v>
      </c>
      <c r="N81" s="192">
        <v>45579</v>
      </c>
      <c r="O81" s="207" t="s">
        <v>519</v>
      </c>
      <c r="P81" s="226" t="str">
        <f>IF(LEFT(B81,5)="09735",
    IF(ISNA(VLOOKUP(Tabla1313[[#This Row],[Apoyo]],'LM SAP'!A:G,1,FALSE)),
        "No Disponible",
        IF(VLOOKUP(Tabla1313[[#This Row],[Apoyo]],'LM SAP'!A:AD,9,FALSE)="RR",
            "Disponible",
            "Firmas SAP"
        )
    ),
    "CONSULTAR"
)</f>
        <v>No Disponible</v>
      </c>
      <c r="Q81" s="165" t="str">
        <f>MID(Tabla1313[[#This Row],[Código Indra]],1,13)</f>
        <v>0973545002400</v>
      </c>
      <c r="R81" s="63" t="s">
        <v>255</v>
      </c>
      <c r="S81" s="166" t="str">
        <f>IF(ISNA(VLOOKUP(Tabla1313[[#This Row],[Código Indra]],#REF!,1,FALSE)),"NO", "SI")</f>
        <v>SI</v>
      </c>
      <c r="T81" s="7" t="s">
        <v>289</v>
      </c>
      <c r="U81" t="s">
        <v>256</v>
      </c>
      <c r="V81" t="e">
        <f>VLOOKUP(Tabla1313[[#This Row],[Apoyo]],'LM SAP'!A:I,9,FALSE)</f>
        <v>#N/A</v>
      </c>
      <c r="W81" t="e">
        <f>VLOOKUP(Tabla1313[[#This Row],[Código Indra]],#REF!,1,FALSE)</f>
        <v>#REF!</v>
      </c>
    </row>
    <row r="82" spans="1:23" ht="48" x14ac:dyDescent="0.25">
      <c r="A82" s="64">
        <v>75</v>
      </c>
      <c r="B82" s="64" t="s">
        <v>520</v>
      </c>
      <c r="C82" s="75" t="s">
        <v>521</v>
      </c>
      <c r="D82" s="61" t="s">
        <v>478</v>
      </c>
      <c r="E82" s="75" t="s">
        <v>522</v>
      </c>
      <c r="F82" s="64">
        <v>1</v>
      </c>
      <c r="G82" s="61" t="s">
        <v>234</v>
      </c>
      <c r="H82" s="64"/>
      <c r="I82" s="61" t="s">
        <v>321</v>
      </c>
      <c r="J82" s="64" t="s">
        <v>474</v>
      </c>
      <c r="K82" s="184" t="s">
        <v>221</v>
      </c>
      <c r="L82" s="191">
        <v>60004493</v>
      </c>
      <c r="M82" s="192">
        <v>45566</v>
      </c>
      <c r="N82" s="192">
        <v>45574</v>
      </c>
      <c r="O82" s="226" t="s">
        <v>523</v>
      </c>
      <c r="P82" s="226" t="str">
        <f>IF(LEFT(B82,5)="09735",
    IF(ISNA(VLOOKUP(Tabla1313[[#This Row],[Apoyo]],'LM SAP'!A:G,1,FALSE)),
        "No Disponible",
        IF(VLOOKUP(Tabla1313[[#This Row],[Apoyo]],'LM SAP'!A:AD,9,FALSE)="RR",
            "Disponible",
            "Firmas SAP"
        )
    ),
    "CONSULTAR"
)</f>
        <v>No Disponible</v>
      </c>
      <c r="Q82" s="165" t="str">
        <f>MID(Tabla1313[[#This Row],[Código Indra]],1,13)</f>
        <v>0973545002500</v>
      </c>
      <c r="R82" s="63" t="s">
        <v>255</v>
      </c>
      <c r="S82" s="166" t="str">
        <f>IF(ISNA(VLOOKUP(Tabla1313[[#This Row],[Código Indra]],#REF!,1,FALSE)),"NO", "SI")</f>
        <v>SI</v>
      </c>
      <c r="T82" s="7" t="s">
        <v>289</v>
      </c>
      <c r="U82" t="s">
        <v>256</v>
      </c>
      <c r="V82" t="e">
        <f>VLOOKUP(Tabla1313[[#This Row],[Apoyo]],'LM SAP'!A:I,9,FALSE)</f>
        <v>#N/A</v>
      </c>
      <c r="W82" t="e">
        <f>VLOOKUP(Tabla1313[[#This Row],[Código Indra]],#REF!,1,FALSE)</f>
        <v>#REF!</v>
      </c>
    </row>
    <row r="83" spans="1:23" ht="72" x14ac:dyDescent="0.25">
      <c r="A83" s="64">
        <v>76</v>
      </c>
      <c r="B83" s="61" t="s">
        <v>524</v>
      </c>
      <c r="C83" s="76" t="s">
        <v>525</v>
      </c>
      <c r="D83" s="64" t="s">
        <v>478</v>
      </c>
      <c r="E83" s="76" t="s">
        <v>526</v>
      </c>
      <c r="F83" s="64">
        <v>1</v>
      </c>
      <c r="G83" s="61" t="s">
        <v>234</v>
      </c>
      <c r="H83" s="64"/>
      <c r="I83" s="64" t="s">
        <v>321</v>
      </c>
      <c r="J83" s="64" t="s">
        <v>474</v>
      </c>
      <c r="K83" s="184" t="s">
        <v>221</v>
      </c>
      <c r="L83" s="191">
        <v>60004494</v>
      </c>
      <c r="M83" s="192">
        <v>45566</v>
      </c>
      <c r="N83" s="192">
        <v>45573</v>
      </c>
      <c r="O83" s="226" t="s">
        <v>527</v>
      </c>
      <c r="P83" s="226" t="str">
        <f>IF(LEFT(B83,5)="09735",
    IF(ISNA(VLOOKUP(Tabla1313[[#This Row],[Apoyo]],'LM SAP'!A:G,1,FALSE)),
        "No Disponible",
        IF(VLOOKUP(Tabla1313[[#This Row],[Apoyo]],'LM SAP'!A:AD,9,FALSE)="RR",
            "Disponible",
            "Firmas SAP"
        )
    ),
    "CONSULTAR"
)</f>
        <v>No Disponible</v>
      </c>
      <c r="Q83" s="165" t="str">
        <f>MID(Tabla1313[[#This Row],[Código Indra]],1,13)</f>
        <v>0973545002600</v>
      </c>
      <c r="R83" s="63" t="s">
        <v>255</v>
      </c>
      <c r="S83" s="166" t="str">
        <f>IF(ISNA(VLOOKUP(Tabla1313[[#This Row],[Código Indra]],#REF!,1,FALSE)),"NO", "SI")</f>
        <v>SI</v>
      </c>
      <c r="T83" s="8"/>
      <c r="U83" t="s">
        <v>256</v>
      </c>
      <c r="V83" t="e">
        <f>VLOOKUP(Tabla1313[[#This Row],[Apoyo]],'LM SAP'!A:I,9,FALSE)</f>
        <v>#N/A</v>
      </c>
      <c r="W83" t="e">
        <f>VLOOKUP(Tabla1313[[#This Row],[Código Indra]],#REF!,1,FALSE)</f>
        <v>#REF!</v>
      </c>
    </row>
    <row r="84" spans="1:23" ht="105" x14ac:dyDescent="0.25">
      <c r="A84" s="64">
        <v>78</v>
      </c>
      <c r="B84" s="64" t="s">
        <v>528</v>
      </c>
      <c r="C84" s="75" t="s">
        <v>529</v>
      </c>
      <c r="D84" s="61" t="s">
        <v>478</v>
      </c>
      <c r="E84" s="75" t="s">
        <v>530</v>
      </c>
      <c r="F84" s="64">
        <v>1</v>
      </c>
      <c r="G84" s="61" t="s">
        <v>234</v>
      </c>
      <c r="H84" s="64"/>
      <c r="I84" s="61" t="s">
        <v>321</v>
      </c>
      <c r="J84" s="64" t="s">
        <v>474</v>
      </c>
      <c r="K84" s="184" t="s">
        <v>221</v>
      </c>
      <c r="L84" s="191">
        <v>60004495</v>
      </c>
      <c r="M84" s="192">
        <v>45566</v>
      </c>
      <c r="N84" s="192">
        <v>45573</v>
      </c>
      <c r="O84" s="207" t="s">
        <v>531</v>
      </c>
      <c r="P84" s="226" t="str">
        <f>IF(LEFT(B84,5)="09735",
    IF(ISNA(VLOOKUP(Tabla1313[[#This Row],[Apoyo]],'LM SAP'!A:G,1,FALSE)),
        "No Disponible",
        IF(VLOOKUP(Tabla1313[[#This Row],[Apoyo]],'LM SAP'!A:AD,9,FALSE)="RR",
            "Disponible",
            "Firmas SAP"
        )
    ),
    "CONSULTAR"
)</f>
        <v>No Disponible</v>
      </c>
      <c r="Q84" s="165" t="str">
        <f>MID(Tabla1313[[#This Row],[Código Indra]],1,13)</f>
        <v>0973545003000</v>
      </c>
      <c r="R84" s="63" t="s">
        <v>255</v>
      </c>
      <c r="S84" s="166" t="str">
        <f>IF(ISNA(VLOOKUP(Tabla1313[[#This Row],[Código Indra]],#REF!,1,FALSE)),"NO", "SI")</f>
        <v>SI</v>
      </c>
      <c r="T84" s="7" t="s">
        <v>289</v>
      </c>
      <c r="U84" t="s">
        <v>256</v>
      </c>
      <c r="V84" t="e">
        <f>VLOOKUP(Tabla1313[[#This Row],[Apoyo]],'LM SAP'!A:I,9,FALSE)</f>
        <v>#N/A</v>
      </c>
      <c r="W84" t="e">
        <f>VLOOKUP(Tabla1313[[#This Row],[Código Indra]],#REF!,1,FALSE)</f>
        <v>#REF!</v>
      </c>
    </row>
    <row r="85" spans="1:23" ht="30" x14ac:dyDescent="0.25">
      <c r="A85" s="64">
        <v>79</v>
      </c>
      <c r="B85" s="61" t="s">
        <v>532</v>
      </c>
      <c r="C85" s="76" t="s">
        <v>533</v>
      </c>
      <c r="D85" s="64" t="s">
        <v>77</v>
      </c>
      <c r="E85" s="76" t="s">
        <v>534</v>
      </c>
      <c r="F85" s="64">
        <v>1</v>
      </c>
      <c r="G85" s="61" t="s">
        <v>234</v>
      </c>
      <c r="H85" s="61" t="s">
        <v>250</v>
      </c>
      <c r="I85" s="64" t="s">
        <v>276</v>
      </c>
      <c r="J85" s="64" t="s">
        <v>474</v>
      </c>
      <c r="K85" s="213" t="s">
        <v>215</v>
      </c>
      <c r="L85" s="222">
        <v>60005257</v>
      </c>
      <c r="M85" s="223">
        <v>45630</v>
      </c>
      <c r="N85" s="223"/>
      <c r="O85" s="243" t="s">
        <v>535</v>
      </c>
      <c r="P85" s="220" t="str">
        <f>IF(LEFT(B85,5)="09735",
    IF(ISNA(VLOOKUP(Tabla1313[[#This Row],[Apoyo]],'LM SAP'!A:G,1,FALSE)),
        "No Disponible",
        IF(VLOOKUP(Tabla1313[[#This Row],[Apoyo]],'LM SAP'!A:AD,9,FALSE)="RR",
            "Disponible",
            "Firmas SAP"
        )
    ),
    "CONSULTAR"
)</f>
        <v>No Disponible</v>
      </c>
      <c r="Q85" s="121" t="str">
        <f>MID(Tabla1313[[#This Row],[Código Indra]],1,13)</f>
        <v>0973524300100</v>
      </c>
      <c r="R85" s="63" t="s">
        <v>255</v>
      </c>
      <c r="S85" s="90" t="str">
        <f>IF(ISNA(VLOOKUP(Tabla1313[[#This Row],[Código Indra]],#REF!,1,FALSE)),"NO", "SI")</f>
        <v>SI</v>
      </c>
      <c r="T85" s="91"/>
      <c r="U85" t="s">
        <v>227</v>
      </c>
      <c r="V85" t="e">
        <f>VLOOKUP(Tabla1313[[#This Row],[Apoyo]],'LM SAP'!A:I,9,FALSE)</f>
        <v>#N/A</v>
      </c>
      <c r="W85" t="e">
        <f>VLOOKUP(Tabla1313[[#This Row],[Código Indra]],#REF!,1,FALSE)</f>
        <v>#REF!</v>
      </c>
    </row>
    <row r="86" spans="1:23" ht="96" x14ac:dyDescent="0.25">
      <c r="A86" s="64">
        <v>80</v>
      </c>
      <c r="B86" s="64" t="s">
        <v>536</v>
      </c>
      <c r="C86" s="75" t="s">
        <v>537</v>
      </c>
      <c r="D86" s="61" t="s">
        <v>478</v>
      </c>
      <c r="E86" s="76"/>
      <c r="F86" s="64">
        <v>1</v>
      </c>
      <c r="G86" s="61" t="s">
        <v>234</v>
      </c>
      <c r="H86" s="61" t="s">
        <v>250</v>
      </c>
      <c r="I86" s="61" t="s">
        <v>276</v>
      </c>
      <c r="J86" s="64" t="s">
        <v>474</v>
      </c>
      <c r="K86" s="213" t="s">
        <v>252</v>
      </c>
      <c r="L86" s="191">
        <v>60004476</v>
      </c>
      <c r="M86" s="192">
        <v>45568</v>
      </c>
      <c r="N86" s="192">
        <v>45572</v>
      </c>
      <c r="O86" s="232" t="s">
        <v>538</v>
      </c>
      <c r="P86" s="220" t="str">
        <f>IF(LEFT(B86,5)="09735",
    IF(ISNA(VLOOKUP(Tabla1313[[#This Row],[Apoyo]],'LM SAP'!A:G,1,FALSE)),
        "No Disponible",
        IF(VLOOKUP(Tabla1313[[#This Row],[Apoyo]],'LM SAP'!A:AD,9,FALSE)="RR",
            "Disponible",
            "Firmas SAP"
        )
    ),
    "CONSULTAR"
)</f>
        <v>No Disponible</v>
      </c>
      <c r="Q86" s="121" t="str">
        <f>MID(Tabla1313[[#This Row],[Código Indra]],1,13)</f>
        <v>0973545003600</v>
      </c>
      <c r="R86" s="63" t="s">
        <v>255</v>
      </c>
      <c r="S86" s="90" t="str">
        <f>IF(ISNA(VLOOKUP(Tabla1313[[#This Row],[Código Indra]],#REF!,1,FALSE)),"NO", "SI")</f>
        <v>SI</v>
      </c>
      <c r="T86" s="91"/>
      <c r="U86" t="s">
        <v>256</v>
      </c>
      <c r="V86" t="e">
        <f>VLOOKUP(Tabla1313[[#This Row],[Apoyo]],'LM SAP'!A:I,9,FALSE)</f>
        <v>#N/A</v>
      </c>
      <c r="W86" t="e">
        <f>VLOOKUP(Tabla1313[[#This Row],[Código Indra]],#REF!,1,FALSE)</f>
        <v>#REF!</v>
      </c>
    </row>
    <row r="87" spans="1:23" x14ac:dyDescent="0.25">
      <c r="A87" s="64">
        <v>81</v>
      </c>
      <c r="B87" s="61" t="s">
        <v>539</v>
      </c>
      <c r="C87" s="76" t="s">
        <v>540</v>
      </c>
      <c r="D87" s="64" t="s">
        <v>478</v>
      </c>
      <c r="E87" s="76"/>
      <c r="F87" s="64">
        <v>1</v>
      </c>
      <c r="G87" s="61" t="s">
        <v>234</v>
      </c>
      <c r="H87" s="64"/>
      <c r="I87" s="64" t="s">
        <v>276</v>
      </c>
      <c r="J87" s="64" t="s">
        <v>474</v>
      </c>
      <c r="K87" s="184" t="s">
        <v>221</v>
      </c>
      <c r="L87" s="191">
        <v>60004477</v>
      </c>
      <c r="M87" s="192">
        <v>45536</v>
      </c>
      <c r="N87" s="192">
        <v>45572</v>
      </c>
      <c r="O87" s="226" t="s">
        <v>281</v>
      </c>
      <c r="P87" s="226" t="str">
        <f>IF(LEFT(B87,5)="09735",
    IF(ISNA(VLOOKUP(Tabla1313[[#This Row],[Apoyo]],'LM SAP'!A:G,1,FALSE)),
        "No Disponible",
        IF(VLOOKUP(Tabla1313[[#This Row],[Apoyo]],'LM SAP'!A:AD,9,FALSE)="RR",
            "Disponible",
            "Firmas SAP"
        )
    ),
    "CONSULTAR"
)</f>
        <v>No Disponible</v>
      </c>
      <c r="Q87" s="170" t="str">
        <f>MID(Tabla1313[[#This Row],[Código Indra]],1,13)</f>
        <v>0973545003700</v>
      </c>
      <c r="R87" s="63" t="s">
        <v>255</v>
      </c>
      <c r="S87" s="166" t="str">
        <f>IF(ISNA(VLOOKUP(Tabla1313[[#This Row],[Código Indra]],#REF!,1,FALSE)),"NO", "SI")</f>
        <v>SI</v>
      </c>
      <c r="T87" s="7" t="s">
        <v>289</v>
      </c>
      <c r="U87" t="s">
        <v>256</v>
      </c>
      <c r="V87" t="e">
        <f>VLOOKUP(Tabla1313[[#This Row],[Apoyo]],'LM SAP'!A:I,9,FALSE)</f>
        <v>#N/A</v>
      </c>
      <c r="W87" t="e">
        <f>VLOOKUP(Tabla1313[[#This Row],[Código Indra]],#REF!,1,FALSE)</f>
        <v>#REF!</v>
      </c>
    </row>
    <row r="88" spans="1:23" x14ac:dyDescent="0.25">
      <c r="A88" s="64">
        <v>82</v>
      </c>
      <c r="B88" s="64" t="s">
        <v>541</v>
      </c>
      <c r="C88" s="75" t="s">
        <v>542</v>
      </c>
      <c r="D88" s="61" t="s">
        <v>478</v>
      </c>
      <c r="E88" s="76"/>
      <c r="F88" s="64">
        <v>1</v>
      </c>
      <c r="G88" s="61" t="s">
        <v>234</v>
      </c>
      <c r="H88" s="64"/>
      <c r="I88" s="61" t="s">
        <v>276</v>
      </c>
      <c r="J88" s="64" t="s">
        <v>474</v>
      </c>
      <c r="K88" s="184" t="s">
        <v>221</v>
      </c>
      <c r="L88" s="191">
        <v>60004478</v>
      </c>
      <c r="M88" s="192">
        <v>45568</v>
      </c>
      <c r="N88" s="192">
        <v>45572</v>
      </c>
      <c r="O88" s="207" t="s">
        <v>281</v>
      </c>
      <c r="P88" s="226" t="str">
        <f>IF(LEFT(B88,5)="09735",
    IF(ISNA(VLOOKUP(Tabla1313[[#This Row],[Apoyo]],'LM SAP'!A:G,1,FALSE)),
        "No Disponible",
        IF(VLOOKUP(Tabla1313[[#This Row],[Apoyo]],'LM SAP'!A:AD,9,FALSE)="RR",
            "Disponible",
            "Firmas SAP"
        )
    ),
    "CONSULTAR"
)</f>
        <v>No Disponible</v>
      </c>
      <c r="Q88" s="170" t="str">
        <f>MID(Tabla1313[[#This Row],[Código Indra]],1,13)</f>
        <v>0973545003800</v>
      </c>
      <c r="R88" s="63" t="s">
        <v>255</v>
      </c>
      <c r="S88" s="166" t="str">
        <f>IF(ISNA(VLOOKUP(Tabla1313[[#This Row],[Código Indra]],#REF!,1,FALSE)),"NO", "SI")</f>
        <v>SI</v>
      </c>
      <c r="T88" s="8"/>
      <c r="U88" t="s">
        <v>256</v>
      </c>
      <c r="V88" t="e">
        <f>VLOOKUP(Tabla1313[[#This Row],[Apoyo]],'LM SAP'!A:I,9,FALSE)</f>
        <v>#N/A</v>
      </c>
      <c r="W88" t="e">
        <f>VLOOKUP(Tabla1313[[#This Row],[Código Indra]],#REF!,1,FALSE)</f>
        <v>#REF!</v>
      </c>
    </row>
    <row r="89" spans="1:23" x14ac:dyDescent="0.25">
      <c r="A89" s="64">
        <v>83</v>
      </c>
      <c r="B89" s="61" t="s">
        <v>543</v>
      </c>
      <c r="C89" s="76" t="s">
        <v>544</v>
      </c>
      <c r="D89" s="64" t="s">
        <v>478</v>
      </c>
      <c r="E89" s="76"/>
      <c r="F89" s="64">
        <v>1</v>
      </c>
      <c r="G89" s="61" t="s">
        <v>234</v>
      </c>
      <c r="H89" s="64"/>
      <c r="I89" s="64" t="s">
        <v>276</v>
      </c>
      <c r="J89" s="64" t="s">
        <v>474</v>
      </c>
      <c r="K89" s="184" t="s">
        <v>221</v>
      </c>
      <c r="L89" s="191">
        <v>60004479</v>
      </c>
      <c r="M89" s="192">
        <v>45568</v>
      </c>
      <c r="N89" s="192">
        <v>45572</v>
      </c>
      <c r="O89" s="226" t="s">
        <v>545</v>
      </c>
      <c r="P89" s="226" t="str">
        <f>IF(LEFT(B89,5)="09735",
    IF(ISNA(VLOOKUP(Tabla1313[[#This Row],[Apoyo]],'LM SAP'!A:G,1,FALSE)),
        "No Disponible",
        IF(VLOOKUP(Tabla1313[[#This Row],[Apoyo]],'LM SAP'!A:AD,9,FALSE)="RR",
            "Disponible",
            "Firmas SAP"
        )
    ),
    "CONSULTAR"
)</f>
        <v>No Disponible</v>
      </c>
      <c r="Q89" s="171" t="str">
        <f>MID(Tabla1313[[#This Row],[Código Indra]],1,13)</f>
        <v>0973545003900</v>
      </c>
      <c r="R89" s="63" t="s">
        <v>255</v>
      </c>
      <c r="S89" s="166" t="str">
        <f>IF(ISNA(VLOOKUP(Tabla1313[[#This Row],[Código Indra]],#REF!,1,FALSE)),"NO", "SI")</f>
        <v>SI</v>
      </c>
      <c r="T89" s="7" t="s">
        <v>289</v>
      </c>
      <c r="U89" t="s">
        <v>256</v>
      </c>
      <c r="V89" t="e">
        <f>VLOOKUP(Tabla1313[[#This Row],[Apoyo]],'LM SAP'!A:I,9,FALSE)</f>
        <v>#N/A</v>
      </c>
      <c r="W89" t="e">
        <f>VLOOKUP(Tabla1313[[#This Row],[Código Indra]],#REF!,1,FALSE)</f>
        <v>#REF!</v>
      </c>
    </row>
    <row r="90" spans="1:23" ht="30" x14ac:dyDescent="0.25">
      <c r="A90" s="64">
        <v>84</v>
      </c>
      <c r="B90" s="64" t="s">
        <v>546</v>
      </c>
      <c r="C90" s="75" t="s">
        <v>547</v>
      </c>
      <c r="D90" s="61" t="s">
        <v>478</v>
      </c>
      <c r="E90" s="75" t="s">
        <v>548</v>
      </c>
      <c r="F90" s="64">
        <v>1</v>
      </c>
      <c r="G90" s="61" t="s">
        <v>234</v>
      </c>
      <c r="H90" s="64"/>
      <c r="I90" s="61" t="s">
        <v>276</v>
      </c>
      <c r="J90" s="64" t="s">
        <v>474</v>
      </c>
      <c r="K90" s="184" t="s">
        <v>221</v>
      </c>
      <c r="L90" s="191">
        <v>60004389</v>
      </c>
      <c r="M90" s="192">
        <v>45551</v>
      </c>
      <c r="N90" s="192">
        <v>45567</v>
      </c>
      <c r="O90" s="207" t="s">
        <v>549</v>
      </c>
      <c r="P90" s="226" t="str">
        <f>IF(LEFT(B90,5)="09735",
    IF(ISNA(VLOOKUP(Tabla1313[[#This Row],[Apoyo]],'LM SAP'!A:G,1,FALSE)),
        "No Disponible",
        IF(VLOOKUP(Tabla1313[[#This Row],[Apoyo]],'LM SAP'!A:AD,9,FALSE)="RR",
            "Disponible",
            "Firmas SAP"
        )
    ),
    "CONSULTAR"
)</f>
        <v>No Disponible</v>
      </c>
      <c r="Q90" s="165" t="str">
        <f>MID(Tabla1313[[#This Row],[Código Indra]],1,13)</f>
        <v>0973545004000</v>
      </c>
      <c r="R90" s="63" t="s">
        <v>255</v>
      </c>
      <c r="S90" s="166" t="str">
        <f>IF(ISNA(VLOOKUP(Tabla1313[[#This Row],[Código Indra]],#REF!,1,FALSE)),"NO", "SI")</f>
        <v>SI</v>
      </c>
      <c r="T90" s="7" t="s">
        <v>289</v>
      </c>
      <c r="U90" t="s">
        <v>256</v>
      </c>
      <c r="V90" t="e">
        <f>VLOOKUP(Tabla1313[[#This Row],[Apoyo]],'LM SAP'!A:I,9,FALSE)</f>
        <v>#N/A</v>
      </c>
      <c r="W90" t="e">
        <f>VLOOKUP(Tabla1313[[#This Row],[Código Indra]],#REF!,1,FALSE)</f>
        <v>#REF!</v>
      </c>
    </row>
    <row r="91" spans="1:23" ht="60" x14ac:dyDescent="0.25">
      <c r="A91" s="64">
        <v>85</v>
      </c>
      <c r="B91" s="61" t="s">
        <v>550</v>
      </c>
      <c r="C91" s="76" t="s">
        <v>551</v>
      </c>
      <c r="D91" s="64" t="s">
        <v>478</v>
      </c>
      <c r="E91" s="76" t="s">
        <v>552</v>
      </c>
      <c r="F91" s="64">
        <v>1</v>
      </c>
      <c r="G91" s="61" t="s">
        <v>234</v>
      </c>
      <c r="H91" s="61" t="s">
        <v>250</v>
      </c>
      <c r="I91" s="64" t="s">
        <v>276</v>
      </c>
      <c r="J91" s="64" t="s">
        <v>474</v>
      </c>
      <c r="K91" s="213" t="s">
        <v>252</v>
      </c>
      <c r="L91" s="191">
        <v>60004500</v>
      </c>
      <c r="M91" s="192">
        <v>45566</v>
      </c>
      <c r="N91" s="192">
        <v>45573</v>
      </c>
      <c r="O91" s="232" t="s">
        <v>553</v>
      </c>
      <c r="P91" s="220" t="str">
        <f>IF(LEFT(B91,5)="09735",
    IF(ISNA(VLOOKUP(Tabla1313[[#This Row],[Apoyo]],'LM SAP'!A:G,1,FALSE)),
        "No Disponible",
        IF(VLOOKUP(Tabla1313[[#This Row],[Apoyo]],'LM SAP'!A:AD,9,FALSE)="RR",
            "Disponible",
            "Firmas SAP"
        )
    ),
    "CONSULTAR"
)</f>
        <v>No Disponible</v>
      </c>
      <c r="Q91" s="63" t="str">
        <f>MID(Tabla1313[[#This Row],[Código Indra]],1,13)</f>
        <v>0973545004100</v>
      </c>
      <c r="R91" s="63" t="s">
        <v>255</v>
      </c>
      <c r="S91" s="90" t="str">
        <f>IF(ISNA(VLOOKUP(Tabla1313[[#This Row],[Código Indra]],#REF!,1,FALSE)),"NO", "SI")</f>
        <v>SI</v>
      </c>
      <c r="T91" s="91"/>
      <c r="U91" t="s">
        <v>256</v>
      </c>
      <c r="V91" t="e">
        <f>VLOOKUP(Tabla1313[[#This Row],[Apoyo]],'LM SAP'!A:I,9,FALSE)</f>
        <v>#N/A</v>
      </c>
      <c r="W91" t="e">
        <f>VLOOKUP(Tabla1313[[#This Row],[Código Indra]],#REF!,1,FALSE)</f>
        <v>#REF!</v>
      </c>
    </row>
    <row r="92" spans="1:23" x14ac:dyDescent="0.25">
      <c r="A92" s="64">
        <v>87</v>
      </c>
      <c r="B92" s="64" t="s">
        <v>554</v>
      </c>
      <c r="C92" s="75" t="s">
        <v>555</v>
      </c>
      <c r="D92" s="61" t="s">
        <v>478</v>
      </c>
      <c r="E92" s="76"/>
      <c r="F92" s="64">
        <v>1</v>
      </c>
      <c r="G92" s="61" t="s">
        <v>234</v>
      </c>
      <c r="H92" s="64"/>
      <c r="I92" s="61" t="s">
        <v>276</v>
      </c>
      <c r="J92" s="64" t="s">
        <v>474</v>
      </c>
      <c r="K92" s="184" t="s">
        <v>221</v>
      </c>
      <c r="L92" s="191">
        <v>60004501</v>
      </c>
      <c r="M92" s="192">
        <v>45566</v>
      </c>
      <c r="N92" s="192">
        <v>45573</v>
      </c>
      <c r="O92" s="207" t="s">
        <v>556</v>
      </c>
      <c r="P92" s="226" t="str">
        <f>IF(LEFT(B92,5)="09735",
    IF(ISNA(VLOOKUP(Tabla1313[[#This Row],[Apoyo]],'LM SAP'!A:G,1,FALSE)),
        "No Disponible",
        IF(VLOOKUP(Tabla1313[[#This Row],[Apoyo]],'LM SAP'!A:AD,9,FALSE)="RR",
            "Disponible",
            "Firmas SAP"
        )
    ),
    "CONSULTAR"
)</f>
        <v>No Disponible</v>
      </c>
      <c r="Q92" s="165" t="str">
        <f>MID(Tabla1313[[#This Row],[Código Indra]],1,13)</f>
        <v>0973545004400</v>
      </c>
      <c r="R92" s="63" t="s">
        <v>255</v>
      </c>
      <c r="S92" s="166" t="str">
        <f>IF(ISNA(VLOOKUP(Tabla1313[[#This Row],[Código Indra]],#REF!,1,FALSE)),"NO", "SI")</f>
        <v>SI</v>
      </c>
      <c r="T92" s="7" t="s">
        <v>289</v>
      </c>
      <c r="U92" t="s">
        <v>256</v>
      </c>
      <c r="V92" t="e">
        <f>VLOOKUP(Tabla1313[[#This Row],[Apoyo]],'LM SAP'!A:I,9,FALSE)</f>
        <v>#N/A</v>
      </c>
      <c r="W92" t="e">
        <f>VLOOKUP(Tabla1313[[#This Row],[Código Indra]],#REF!,1,FALSE)</f>
        <v>#REF!</v>
      </c>
    </row>
    <row r="93" spans="1:23" s="110" customFormat="1" ht="72" x14ac:dyDescent="0.25">
      <c r="A93" s="64">
        <v>88</v>
      </c>
      <c r="B93" s="61" t="s">
        <v>557</v>
      </c>
      <c r="C93" s="76" t="s">
        <v>86</v>
      </c>
      <c r="D93" s="64" t="s">
        <v>558</v>
      </c>
      <c r="E93" s="76" t="s">
        <v>559</v>
      </c>
      <c r="F93" s="64">
        <v>1</v>
      </c>
      <c r="G93" s="61" t="s">
        <v>234</v>
      </c>
      <c r="H93" s="64"/>
      <c r="I93" s="64" t="s">
        <v>560</v>
      </c>
      <c r="J93" s="64" t="s">
        <v>474</v>
      </c>
      <c r="K93" s="213" t="s">
        <v>561</v>
      </c>
      <c r="L93" s="191">
        <v>60004831</v>
      </c>
      <c r="M93" s="192">
        <v>45600</v>
      </c>
      <c r="N93" s="192">
        <v>45601</v>
      </c>
      <c r="O93" s="249" t="s">
        <v>562</v>
      </c>
      <c r="P93" s="220" t="str">
        <f>IF(LEFT(B93,5)="09735",
    IF(ISNA(VLOOKUP(Tabla1313[[#This Row],[Apoyo]],'LM SAP'!A:G,1,FALSE)),
        "No Disponible",
        IF(VLOOKUP(Tabla1313[[#This Row],[Apoyo]],'LM SAP'!A:AD,9,FALSE)="RR",
            "Disponible",
            "Firmas SAP"
        )
    ),
    "CONSULTAR"
)</f>
        <v>No Disponible</v>
      </c>
      <c r="Q93" s="111" t="str">
        <f>MID(Tabla1313[[#This Row],[Código Indra]],1,13)</f>
        <v>0973524201800</v>
      </c>
      <c r="R93" s="111" t="s">
        <v>255</v>
      </c>
      <c r="S93" s="118" t="str">
        <f>IF(ISNA(VLOOKUP(Tabla1313[[#This Row],[Código Indra]],#REF!,1,FALSE)),"NO", "SI")</f>
        <v>SI</v>
      </c>
      <c r="T93" s="112"/>
      <c r="U93" t="s">
        <v>227</v>
      </c>
      <c r="V93" t="e">
        <f>VLOOKUP(Tabla1313[[#This Row],[Apoyo]],'LM SAP'!A:I,9,FALSE)</f>
        <v>#N/A</v>
      </c>
      <c r="W93" s="110" t="e">
        <f>VLOOKUP(Tabla1313[[#This Row],[Código Indra]],#REF!,1,FALSE)</f>
        <v>#REF!</v>
      </c>
    </row>
    <row r="94" spans="1:23" ht="30" x14ac:dyDescent="0.25">
      <c r="A94" s="64">
        <v>89</v>
      </c>
      <c r="B94" s="64" t="s">
        <v>563</v>
      </c>
      <c r="C94" s="75" t="s">
        <v>564</v>
      </c>
      <c r="D94" s="61" t="s">
        <v>86</v>
      </c>
      <c r="E94" s="75" t="s">
        <v>565</v>
      </c>
      <c r="F94" s="64">
        <v>1</v>
      </c>
      <c r="G94" s="61" t="s">
        <v>234</v>
      </c>
      <c r="H94" s="64"/>
      <c r="I94" s="61" t="s">
        <v>560</v>
      </c>
      <c r="J94" s="64" t="s">
        <v>474</v>
      </c>
      <c r="K94" s="213" t="s">
        <v>221</v>
      </c>
      <c r="L94" s="191">
        <v>60004560</v>
      </c>
      <c r="M94" s="192">
        <v>45572</v>
      </c>
      <c r="N94" s="192">
        <v>45579</v>
      </c>
      <c r="O94" s="209" t="s">
        <v>300</v>
      </c>
      <c r="P94" s="220" t="str">
        <f>IF(LEFT(B94,5)="09735",
    IF(ISNA(VLOOKUP(Tabla1313[[#This Row],[Apoyo]],'LM SAP'!A:G,1,FALSE)),
        "No Disponible",
        IF(VLOOKUP(Tabla1313[[#This Row],[Apoyo]],'LM SAP'!A:AD,9,FALSE)="RR",
            "Disponible",
            "Firmas SAP"
        )
    ),
    "CONSULTAR"
)</f>
        <v>CONSULTAR</v>
      </c>
      <c r="Q94" s="63" t="str">
        <f>MID(Tabla1313[[#This Row],[Código Indra]],1,13)</f>
        <v>0972845008001</v>
      </c>
      <c r="R94" s="63" t="s">
        <v>255</v>
      </c>
      <c r="S94" s="90" t="str">
        <f>IF(ISNA(VLOOKUP(Tabla1313[[#This Row],[Código Indra]],#REF!,1,FALSE)),"NO", "SI")</f>
        <v>SI</v>
      </c>
      <c r="T94" s="91"/>
      <c r="U94" t="s">
        <v>256</v>
      </c>
      <c r="V94" t="e">
        <f>VLOOKUP(Tabla1313[[#This Row],[Apoyo]],'LM SAP'!A:I,9,FALSE)</f>
        <v>#N/A</v>
      </c>
      <c r="W94" t="e">
        <f>VLOOKUP(Tabla1313[[#This Row],[Código Indra]],#REF!,1,FALSE)</f>
        <v>#REF!</v>
      </c>
    </row>
    <row r="95" spans="1:23" ht="30" x14ac:dyDescent="0.25">
      <c r="A95" s="64">
        <v>90</v>
      </c>
      <c r="B95" s="61" t="s">
        <v>566</v>
      </c>
      <c r="C95" s="76" t="s">
        <v>567</v>
      </c>
      <c r="D95" s="64" t="s">
        <v>86</v>
      </c>
      <c r="E95" s="76" t="s">
        <v>565</v>
      </c>
      <c r="F95" s="64">
        <v>1</v>
      </c>
      <c r="G95" s="61" t="s">
        <v>234</v>
      </c>
      <c r="H95" s="64"/>
      <c r="I95" s="64" t="s">
        <v>560</v>
      </c>
      <c r="J95" s="64" t="s">
        <v>474</v>
      </c>
      <c r="K95" s="184" t="s">
        <v>221</v>
      </c>
      <c r="L95" s="191">
        <v>60004561</v>
      </c>
      <c r="M95" s="192">
        <v>45572</v>
      </c>
      <c r="N95" s="192">
        <v>45579</v>
      </c>
      <c r="O95" s="226" t="s">
        <v>568</v>
      </c>
      <c r="P95" s="226" t="str">
        <f>IF(LEFT(B95,5)="09735",
    IF(ISNA(VLOOKUP(Tabla1313[[#This Row],[Apoyo]],'LM SAP'!A:G,1,FALSE)),
        "No Disponible",
        IF(VLOOKUP(Tabla1313[[#This Row],[Apoyo]],'LM SAP'!A:AD,9,FALSE)="RR",
            "Disponible",
            "Firmas SAP"
        )
    ),
    "CONSULTAR"
)</f>
        <v>CONSULTAR</v>
      </c>
      <c r="Q95" s="165" t="str">
        <f>MID(Tabla1313[[#This Row],[Código Indra]],1,13)</f>
        <v>0972845008002</v>
      </c>
      <c r="R95" s="63" t="s">
        <v>255</v>
      </c>
      <c r="S95" s="166" t="str">
        <f>IF(ISNA(VLOOKUP(Tabla1313[[#This Row],[Código Indra]],#REF!,1,FALSE)),"NO", "SI")</f>
        <v>SI</v>
      </c>
      <c r="T95" s="7" t="s">
        <v>289</v>
      </c>
      <c r="U95" t="s">
        <v>256</v>
      </c>
      <c r="V95" t="e">
        <f>VLOOKUP(Tabla1313[[#This Row],[Apoyo]],'LM SAP'!A:I,9,FALSE)</f>
        <v>#N/A</v>
      </c>
      <c r="W95" t="e">
        <f>VLOOKUP(Tabla1313[[#This Row],[Código Indra]],#REF!,1,FALSE)</f>
        <v>#REF!</v>
      </c>
    </row>
    <row r="96" spans="1:23" ht="30" x14ac:dyDescent="0.25">
      <c r="A96" s="64">
        <v>91</v>
      </c>
      <c r="B96" s="64" t="s">
        <v>569</v>
      </c>
      <c r="C96" s="75" t="s">
        <v>570</v>
      </c>
      <c r="D96" s="61" t="s">
        <v>86</v>
      </c>
      <c r="E96" s="75" t="s">
        <v>565</v>
      </c>
      <c r="F96" s="64">
        <v>1</v>
      </c>
      <c r="G96" s="61" t="s">
        <v>234</v>
      </c>
      <c r="H96" s="64"/>
      <c r="I96" s="61" t="s">
        <v>560</v>
      </c>
      <c r="J96" s="64" t="s">
        <v>474</v>
      </c>
      <c r="K96" s="184" t="s">
        <v>221</v>
      </c>
      <c r="L96" s="191">
        <v>60004562</v>
      </c>
      <c r="M96" s="192">
        <v>45572</v>
      </c>
      <c r="N96" s="192">
        <v>45579</v>
      </c>
      <c r="O96" s="207" t="s">
        <v>568</v>
      </c>
      <c r="P96" s="226" t="str">
        <f>IF(LEFT(B96,5)="09735",
    IF(ISNA(VLOOKUP(Tabla1313[[#This Row],[Apoyo]],'LM SAP'!A:G,1,FALSE)),
        "No Disponible",
        IF(VLOOKUP(Tabla1313[[#This Row],[Apoyo]],'LM SAP'!A:AD,9,FALSE)="RR",
            "Disponible",
            "Firmas SAP"
        )
    ),
    "CONSULTAR"
)</f>
        <v>CONSULTAR</v>
      </c>
      <c r="Q96" s="165" t="str">
        <f>MID(Tabla1313[[#This Row],[Código Indra]],1,13)</f>
        <v>0972845008003</v>
      </c>
      <c r="R96" s="63" t="s">
        <v>255</v>
      </c>
      <c r="S96" s="166" t="str">
        <f>IF(ISNA(VLOOKUP(Tabla1313[[#This Row],[Código Indra]],#REF!,1,FALSE)),"NO", "SI")</f>
        <v>SI</v>
      </c>
      <c r="T96" s="7" t="s">
        <v>289</v>
      </c>
      <c r="U96" t="s">
        <v>256</v>
      </c>
      <c r="V96" t="e">
        <f>VLOOKUP(Tabla1313[[#This Row],[Apoyo]],'LM SAP'!A:I,9,FALSE)</f>
        <v>#N/A</v>
      </c>
      <c r="W96" t="e">
        <f>VLOOKUP(Tabla1313[[#This Row],[Código Indra]],#REF!,1,FALSE)</f>
        <v>#REF!</v>
      </c>
    </row>
    <row r="97" spans="1:23" ht="30" x14ac:dyDescent="0.25">
      <c r="A97" s="64">
        <v>92</v>
      </c>
      <c r="B97" s="61" t="s">
        <v>88</v>
      </c>
      <c r="C97" s="76" t="s">
        <v>571</v>
      </c>
      <c r="D97" s="64" t="s">
        <v>89</v>
      </c>
      <c r="E97" s="76" t="s">
        <v>572</v>
      </c>
      <c r="F97" s="64">
        <v>1</v>
      </c>
      <c r="G97" s="61" t="s">
        <v>234</v>
      </c>
      <c r="H97" s="64"/>
      <c r="I97" s="64" t="s">
        <v>321</v>
      </c>
      <c r="J97" s="64" t="s">
        <v>474</v>
      </c>
      <c r="K97" s="213" t="s">
        <v>212</v>
      </c>
      <c r="L97" s="191"/>
      <c r="M97" s="192"/>
      <c r="N97" s="192"/>
      <c r="O97" s="232" t="s">
        <v>499</v>
      </c>
      <c r="P97" s="220" t="str">
        <f>IF(LEFT(B97,5)="09735",
    IF(ISNA(VLOOKUP(Tabla1313[[#This Row],[Apoyo]],'LM SAP'!A:G,1,FALSE)),
        "No Disponible",
        IF(VLOOKUP(Tabla1313[[#This Row],[Apoyo]],'LM SAP'!A:AD,9,FALSE)="RR",
            "Disponible",
            "Firmas SAP"
        )
    ),
    "CONSULTAR"
)</f>
        <v>No Disponible</v>
      </c>
      <c r="Q97" s="63" t="str">
        <f>MID(Tabla1313[[#This Row],[Código Indra]],1,13)</f>
        <v>0973524201600</v>
      </c>
      <c r="R97" s="63" t="s">
        <v>255</v>
      </c>
      <c r="S97" s="90" t="str">
        <f>IF(ISNA(VLOOKUP(Tabla1313[[#This Row],[Código Indra]],#REF!,1,FALSE)),"NO", "SI")</f>
        <v>SI</v>
      </c>
      <c r="T97" s="91"/>
      <c r="U97" t="s">
        <v>227</v>
      </c>
      <c r="V97" t="e">
        <f>VLOOKUP(Tabla1313[[#This Row],[Apoyo]],'LM SAP'!A:I,9,FALSE)</f>
        <v>#N/A</v>
      </c>
      <c r="W97" t="e">
        <f>VLOOKUP(Tabla1313[[#This Row],[Código Indra]],#REF!,1,FALSE)</f>
        <v>#REF!</v>
      </c>
    </row>
    <row r="98" spans="1:23" ht="30" x14ac:dyDescent="0.25">
      <c r="A98" s="64">
        <v>93</v>
      </c>
      <c r="B98" s="64" t="s">
        <v>573</v>
      </c>
      <c r="C98" s="75" t="s">
        <v>574</v>
      </c>
      <c r="D98" s="61" t="s">
        <v>575</v>
      </c>
      <c r="E98" s="75" t="s">
        <v>576</v>
      </c>
      <c r="F98" s="64">
        <v>1</v>
      </c>
      <c r="G98" s="61" t="s">
        <v>234</v>
      </c>
      <c r="H98" s="61" t="s">
        <v>480</v>
      </c>
      <c r="I98" s="61" t="s">
        <v>321</v>
      </c>
      <c r="J98" s="64" t="s">
        <v>474</v>
      </c>
      <c r="K98" s="213" t="s">
        <v>219</v>
      </c>
      <c r="L98" s="191">
        <v>60004724</v>
      </c>
      <c r="M98" s="192">
        <v>45595</v>
      </c>
      <c r="N98" s="192">
        <v>45621</v>
      </c>
      <c r="O98" s="242" t="s">
        <v>281</v>
      </c>
      <c r="P98" s="220" t="str">
        <f>IF(LEFT(B98,5)="09735",
    IF(ISNA(VLOOKUP(Tabla1313[[#This Row],[Apoyo]],'LM SAP'!A:G,1,FALSE)),
        "No Disponible",
        IF(VLOOKUP(Tabla1313[[#This Row],[Apoyo]],'LM SAP'!A:AD,9,FALSE)="RR",
            "Disponible",
            "Firmas SAP"
        )
    ),
    "CONSULTAR"
)</f>
        <v>No Disponible</v>
      </c>
      <c r="Q98" s="63" t="str">
        <f>MID(Tabla1313[[#This Row],[Código Indra]],1,13)</f>
        <v>0973545009100</v>
      </c>
      <c r="R98" s="63" t="s">
        <v>255</v>
      </c>
      <c r="S98" s="90" t="str">
        <f>IF(ISNA(VLOOKUP(Tabla1313[[#This Row],[Código Indra]],#REF!,1,FALSE)),"NO", "SI")</f>
        <v>SI</v>
      </c>
      <c r="T98" s="91"/>
      <c r="U98" t="s">
        <v>256</v>
      </c>
      <c r="V98" t="e">
        <f>VLOOKUP(Tabla1313[[#This Row],[Apoyo]],'LM SAP'!A:I,9,FALSE)</f>
        <v>#N/A</v>
      </c>
      <c r="W98" t="e">
        <f>VLOOKUP(Tabla1313[[#This Row],[Código Indra]],#REF!,1,FALSE)</f>
        <v>#REF!</v>
      </c>
    </row>
    <row r="99" spans="1:23" ht="30" x14ac:dyDescent="0.25">
      <c r="A99" s="64">
        <v>94</v>
      </c>
      <c r="B99" s="61" t="s">
        <v>577</v>
      </c>
      <c r="C99" s="76" t="s">
        <v>578</v>
      </c>
      <c r="D99" s="64" t="s">
        <v>575</v>
      </c>
      <c r="E99" s="76" t="s">
        <v>579</v>
      </c>
      <c r="F99" s="64">
        <v>1</v>
      </c>
      <c r="G99" s="61" t="s">
        <v>234</v>
      </c>
      <c r="H99" s="61" t="s">
        <v>480</v>
      </c>
      <c r="I99" s="64" t="s">
        <v>321</v>
      </c>
      <c r="J99" s="64" t="s">
        <v>474</v>
      </c>
      <c r="K99" s="184" t="s">
        <v>221</v>
      </c>
      <c r="L99" s="191">
        <v>60004725</v>
      </c>
      <c r="M99" s="192">
        <v>45595</v>
      </c>
      <c r="N99" s="192">
        <v>45621</v>
      </c>
      <c r="O99" s="240" t="s">
        <v>281</v>
      </c>
      <c r="P99" s="226" t="str">
        <f>IF(LEFT(B99,5)="09735",
    IF(ISNA(VLOOKUP(Tabla1313[[#This Row],[Apoyo]],'LM SAP'!A:G,1,FALSE)),
        "No Disponible",
        IF(VLOOKUP(Tabla1313[[#This Row],[Apoyo]],'LM SAP'!A:AD,9,FALSE)="RR",
            "Disponible",
            "Firmas SAP"
        )
    ),
    "CONSULTAR"
)</f>
        <v>No Disponible</v>
      </c>
      <c r="Q99" s="165" t="str">
        <f>MID(Tabla1313[[#This Row],[Código Indra]],1,13)</f>
        <v>0973545009200</v>
      </c>
      <c r="R99" s="63" t="s">
        <v>255</v>
      </c>
      <c r="S99" s="166" t="str">
        <f>IF(ISNA(VLOOKUP(Tabla1313[[#This Row],[Código Indra]],#REF!,1,FALSE)),"NO", "SI")</f>
        <v>SI</v>
      </c>
      <c r="T99" s="8"/>
      <c r="U99" t="s">
        <v>256</v>
      </c>
      <c r="V99" t="e">
        <f>VLOOKUP(Tabla1313[[#This Row],[Apoyo]],'LM SAP'!A:I,9,FALSE)</f>
        <v>#N/A</v>
      </c>
      <c r="W99" t="e">
        <f>VLOOKUP(Tabla1313[[#This Row],[Código Indra]],#REF!,1,FALSE)</f>
        <v>#REF!</v>
      </c>
    </row>
    <row r="100" spans="1:23" ht="30" x14ac:dyDescent="0.25">
      <c r="A100" s="64">
        <v>95</v>
      </c>
      <c r="B100" s="64" t="s">
        <v>580</v>
      </c>
      <c r="C100" s="75" t="s">
        <v>581</v>
      </c>
      <c r="D100" s="61" t="s">
        <v>575</v>
      </c>
      <c r="E100" s="75" t="s">
        <v>582</v>
      </c>
      <c r="F100" s="64">
        <v>1</v>
      </c>
      <c r="G100" s="61" t="s">
        <v>234</v>
      </c>
      <c r="H100" s="61" t="s">
        <v>480</v>
      </c>
      <c r="I100" s="61" t="s">
        <v>321</v>
      </c>
      <c r="J100" s="64" t="s">
        <v>474</v>
      </c>
      <c r="K100" s="184" t="s">
        <v>221</v>
      </c>
      <c r="L100" s="191">
        <v>60004726</v>
      </c>
      <c r="M100" s="192">
        <v>45595</v>
      </c>
      <c r="N100" s="192">
        <v>45621</v>
      </c>
      <c r="O100" s="240" t="s">
        <v>281</v>
      </c>
      <c r="P100" s="226" t="str">
        <f>IF(LEFT(B100,5)="09735",
    IF(ISNA(VLOOKUP(Tabla1313[[#This Row],[Apoyo]],'LM SAP'!A:G,1,FALSE)),
        "No Disponible",
        IF(VLOOKUP(Tabla1313[[#This Row],[Apoyo]],'LM SAP'!A:AD,9,FALSE)="RR",
            "Disponible",
            "Firmas SAP"
        )
    ),
    "CONSULTAR"
)</f>
        <v>No Disponible</v>
      </c>
      <c r="Q100" s="165" t="str">
        <f>MID(Tabla1313[[#This Row],[Código Indra]],1,13)</f>
        <v>0973545009300</v>
      </c>
      <c r="R100" s="63" t="s">
        <v>255</v>
      </c>
      <c r="S100" s="166" t="str">
        <f>IF(ISNA(VLOOKUP(Tabla1313[[#This Row],[Código Indra]],#REF!,1,FALSE)),"NO", "SI")</f>
        <v>SI</v>
      </c>
      <c r="T100" s="8"/>
      <c r="U100" t="s">
        <v>256</v>
      </c>
      <c r="V100" t="e">
        <f>VLOOKUP(Tabla1313[[#This Row],[Apoyo]],'LM SAP'!A:I,9,FALSE)</f>
        <v>#N/A</v>
      </c>
      <c r="W100" t="e">
        <f>VLOOKUP(Tabla1313[[#This Row],[Código Indra]],#REF!,1,FALSE)</f>
        <v>#REF!</v>
      </c>
    </row>
    <row r="101" spans="1:23" s="130" customFormat="1" ht="84" x14ac:dyDescent="0.25">
      <c r="A101" s="152">
        <v>97</v>
      </c>
      <c r="B101" s="125" t="s">
        <v>166</v>
      </c>
      <c r="C101" s="183" t="s">
        <v>167</v>
      </c>
      <c r="D101" s="152"/>
      <c r="E101" s="153" t="s">
        <v>583</v>
      </c>
      <c r="F101" s="152">
        <v>1</v>
      </c>
      <c r="G101" s="125" t="s">
        <v>234</v>
      </c>
      <c r="H101" s="152"/>
      <c r="I101" s="152" t="s">
        <v>251</v>
      </c>
      <c r="J101" s="152" t="s">
        <v>474</v>
      </c>
      <c r="K101" s="250" t="s">
        <v>215</v>
      </c>
      <c r="L101" s="251">
        <v>60005259</v>
      </c>
      <c r="M101" s="252">
        <v>45631</v>
      </c>
      <c r="N101" s="252"/>
      <c r="O101" s="253" t="s">
        <v>584</v>
      </c>
      <c r="P101" s="218" t="str">
        <f>IF(LEFT(B101,5)="09735",
    IF(ISNA(VLOOKUP(Tabla1313[[#This Row],[Apoyo]],'LM SAP'!A:G,1,FALSE)),
        "No Disponible",
        IF(VLOOKUP(Tabla1313[[#This Row],[Apoyo]],'LM SAP'!A:AD,9,FALSE)="RR",
            "Disponible",
            "Firmas SAP"
        )
    ),
    "CONSULTAR"
)</f>
        <v>No Disponible</v>
      </c>
      <c r="Q101" s="127" t="str">
        <f>MID(Tabla1313[[#This Row],[Código Indra]],1,13)</f>
        <v>0973524000100</v>
      </c>
      <c r="R101" s="127" t="s">
        <v>255</v>
      </c>
      <c r="S101" s="128" t="str">
        <f>IF(ISNA(VLOOKUP(Tabla1313[[#This Row],[Código Indra]],#REF!,1,FALSE)),"NO", "SI")</f>
        <v>SI</v>
      </c>
      <c r="T101" s="129"/>
      <c r="U101" t="s">
        <v>227</v>
      </c>
      <c r="V101" t="e">
        <f>VLOOKUP(Tabla1313[[#This Row],[Apoyo]],'LM SAP'!A:I,9,FALSE)</f>
        <v>#N/A</v>
      </c>
      <c r="W101" s="130" t="e">
        <f>VLOOKUP(Tabla1313[[#This Row],[Código Indra]],#REF!,1,FALSE)</f>
        <v>#REF!</v>
      </c>
    </row>
    <row r="102" spans="1:23" ht="75" x14ac:dyDescent="0.25">
      <c r="A102" s="64">
        <v>98</v>
      </c>
      <c r="B102" s="64" t="s">
        <v>155</v>
      </c>
      <c r="C102" s="75" t="s">
        <v>585</v>
      </c>
      <c r="D102" s="64"/>
      <c r="E102" s="75" t="s">
        <v>586</v>
      </c>
      <c r="F102" s="64">
        <v>1</v>
      </c>
      <c r="G102" s="61" t="s">
        <v>234</v>
      </c>
      <c r="H102" s="61" t="s">
        <v>250</v>
      </c>
      <c r="I102" s="61" t="s">
        <v>251</v>
      </c>
      <c r="J102" s="64"/>
      <c r="K102" s="213" t="s">
        <v>217</v>
      </c>
      <c r="L102" s="191">
        <v>60004992</v>
      </c>
      <c r="M102" s="192">
        <v>45615</v>
      </c>
      <c r="N102" s="192">
        <v>45629</v>
      </c>
      <c r="O102" s="253" t="s">
        <v>587</v>
      </c>
      <c r="P102" s="220" t="str">
        <f>IF(LEFT(B102,5)="09735",
    IF(ISNA(VLOOKUP(Tabla1313[[#This Row],[Apoyo]],'LM SAP'!A:G,1,FALSE)),
        "No Disponible",
        IF(VLOOKUP(Tabla1313[[#This Row],[Apoyo]],'LM SAP'!A:AD,9,FALSE)="RR",
            "Disponible",
            "Firmas SAP"
        )
    ),
    "CONSULTAR"
)</f>
        <v>No Disponible</v>
      </c>
      <c r="Q102" s="63" t="str">
        <f>MID(Tabla1313[[#This Row],[Código Indra]],1,13)</f>
        <v>0973525330000</v>
      </c>
      <c r="R102" s="63" t="s">
        <v>255</v>
      </c>
      <c r="S102" s="90" t="str">
        <f>IF(ISNA(VLOOKUP(Tabla1313[[#This Row],[Código Indra]],#REF!,1,FALSE)),"NO", "SI")</f>
        <v>SI</v>
      </c>
      <c r="T102" s="91"/>
      <c r="U102" t="s">
        <v>255</v>
      </c>
      <c r="V102" t="e">
        <f>VLOOKUP(Tabla1313[[#This Row],[Apoyo]],'LM SAP'!A:I,9,FALSE)</f>
        <v>#N/A</v>
      </c>
      <c r="W102" t="e">
        <f>VLOOKUP(Tabla1313[[#This Row],[Código Indra]],#REF!,1,FALSE)</f>
        <v>#REF!</v>
      </c>
    </row>
    <row r="103" spans="1:23" ht="30" x14ac:dyDescent="0.25">
      <c r="A103" s="161">
        <v>282</v>
      </c>
      <c r="B103" s="61" t="s">
        <v>588</v>
      </c>
      <c r="C103" s="76" t="s">
        <v>589</v>
      </c>
      <c r="D103" s="64" t="s">
        <v>585</v>
      </c>
      <c r="E103" s="76" t="s">
        <v>590</v>
      </c>
      <c r="F103" s="64">
        <v>1</v>
      </c>
      <c r="G103" s="61" t="s">
        <v>234</v>
      </c>
      <c r="H103" s="64"/>
      <c r="I103" s="64" t="s">
        <v>591</v>
      </c>
      <c r="J103" s="64" t="s">
        <v>474</v>
      </c>
      <c r="K103" s="213" t="s">
        <v>219</v>
      </c>
      <c r="L103" s="191">
        <v>60004840</v>
      </c>
      <c r="M103" s="192">
        <v>45607</v>
      </c>
      <c r="N103" s="192">
        <v>45616</v>
      </c>
      <c r="O103" s="235" t="s">
        <v>281</v>
      </c>
      <c r="P103" s="220" t="str">
        <f>IF(LEFT(B103,5)="09735",
    IF(ISNA(VLOOKUP(Tabla1313[[#This Row],[Apoyo]],'LM SAP'!A:G,1,FALSE)),
        "No Disponible",
        IF(VLOOKUP(Tabla1313[[#This Row],[Apoyo]],'LM SAP'!A:AD,9,FALSE)="RR",
            "Disponible",
            "Firmas SAP"
        )
    ),
    "CONSULTAR"
)</f>
        <v>No Disponible</v>
      </c>
      <c r="Q103" s="63" t="str">
        <f>MID(Tabla1313[[#This Row],[Código Indra]],1,13)</f>
        <v>0973545050900</v>
      </c>
      <c r="R103" s="63" t="s">
        <v>255</v>
      </c>
      <c r="S103" s="90" t="str">
        <f>IF(ISNA(VLOOKUP(Tabla1313[[#This Row],[Código Indra]],#REF!,1,FALSE)),"NO", "SI")</f>
        <v>SI</v>
      </c>
      <c r="T103" s="91"/>
      <c r="U103" t="s">
        <v>256</v>
      </c>
      <c r="V103" t="e">
        <f>VLOOKUP(Tabla1313[[#This Row],[Apoyo]],'LM SAP'!A:I,9,FALSE)</f>
        <v>#N/A</v>
      </c>
      <c r="W103" t="e">
        <f>VLOOKUP(Tabla1313[[#This Row],[Código Indra]],#REF!,1,FALSE)</f>
        <v>#REF!</v>
      </c>
    </row>
    <row r="104" spans="1:23" ht="71.25" customHeight="1" x14ac:dyDescent="0.25">
      <c r="A104" s="64">
        <v>242</v>
      </c>
      <c r="B104" s="64" t="s">
        <v>592</v>
      </c>
      <c r="C104" s="75" t="s">
        <v>593</v>
      </c>
      <c r="D104" s="64"/>
      <c r="E104" s="75" t="s">
        <v>594</v>
      </c>
      <c r="F104" s="64">
        <v>1</v>
      </c>
      <c r="G104" s="61" t="s">
        <v>260</v>
      </c>
      <c r="H104" s="61" t="s">
        <v>261</v>
      </c>
      <c r="I104" s="61" t="s">
        <v>276</v>
      </c>
      <c r="J104" s="64" t="s">
        <v>474</v>
      </c>
      <c r="K104" s="213" t="s">
        <v>215</v>
      </c>
      <c r="L104" s="222">
        <v>60004841</v>
      </c>
      <c r="M104" s="223">
        <v>45607</v>
      </c>
      <c r="N104" s="192"/>
      <c r="O104" s="253" t="s">
        <v>595</v>
      </c>
      <c r="P104" s="220" t="str">
        <f>IF(LEFT(B104,5)="09735",
    IF(ISNA(VLOOKUP(Tabla1313[[#This Row],[Apoyo]],'LM SAP'!A:G,1,FALSE)),
        "No Disponible",
        IF(VLOOKUP(Tabla1313[[#This Row],[Apoyo]],'LM SAP'!A:AD,9,FALSE)="RR",
            "Disponible",
            "Firmas SAP"
        )
    ),
    "CONSULTAR"
)</f>
        <v>No Disponible</v>
      </c>
      <c r="Q104" s="63" t="str">
        <f>MID(Tabla1313[[#This Row],[Código Indra]],1,13)</f>
        <v>0973545084300</v>
      </c>
      <c r="R104" s="63" t="s">
        <v>255</v>
      </c>
      <c r="S104" s="90" t="str">
        <f>IF(ISNA(VLOOKUP(Tabla1313[[#This Row],[Código Indra]],#REF!,1,FALSE)),"NO", "SI")</f>
        <v>SI</v>
      </c>
      <c r="T104" s="91"/>
      <c r="U104" t="s">
        <v>256</v>
      </c>
      <c r="V104" t="e">
        <f>VLOOKUP(Tabla1313[[#This Row],[Apoyo]],'LM SAP'!A:I,9,FALSE)</f>
        <v>#N/A</v>
      </c>
      <c r="W104" t="e">
        <f>VLOOKUP(Tabla1313[[#This Row],[Código Indra]],#REF!,1,FALSE)</f>
        <v>#REF!</v>
      </c>
    </row>
    <row r="105" spans="1:23" ht="30" x14ac:dyDescent="0.25">
      <c r="A105" s="64">
        <v>223</v>
      </c>
      <c r="B105" s="61" t="s">
        <v>596</v>
      </c>
      <c r="C105" s="76" t="s">
        <v>597</v>
      </c>
      <c r="D105" s="76" t="s">
        <v>598</v>
      </c>
      <c r="E105" s="76" t="s">
        <v>599</v>
      </c>
      <c r="F105" s="64"/>
      <c r="G105" s="61" t="s">
        <v>260</v>
      </c>
      <c r="H105" s="61" t="s">
        <v>261</v>
      </c>
      <c r="I105" s="64" t="s">
        <v>276</v>
      </c>
      <c r="J105" s="64"/>
      <c r="K105" s="213" t="s">
        <v>217</v>
      </c>
      <c r="L105" s="222">
        <v>60005077</v>
      </c>
      <c r="M105" s="223">
        <v>45616</v>
      </c>
      <c r="N105" s="223">
        <v>45635</v>
      </c>
      <c r="O105" s="240" t="s">
        <v>281</v>
      </c>
      <c r="P105" s="220" t="str">
        <f>IF(LEFT(B105,5)="09735",
    IF(ISNA(VLOOKUP(Tabla1313[[#This Row],[Apoyo]],'LM SAP'!A:G,1,FALSE)),
        "No Disponible",
        IF(VLOOKUP(Tabla1313[[#This Row],[Apoyo]],'LM SAP'!A:AD,9,FALSE)="RR",
            "Disponible",
            "Firmas SAP"
        )
    ),
    "CONSULTAR"
)</f>
        <v>No Disponible</v>
      </c>
      <c r="Q105" s="63" t="str">
        <f>MID(Tabla1313[[#This Row],[Código Indra]],1,13)</f>
        <v>0973545047400</v>
      </c>
      <c r="R105" s="63" t="s">
        <v>255</v>
      </c>
      <c r="S105" s="90" t="str">
        <f>IF(ISNA(VLOOKUP(Tabla1313[[#This Row],[Código Indra]],#REF!,1,FALSE)),"NO", "SI")</f>
        <v>SI</v>
      </c>
      <c r="T105" s="91"/>
      <c r="U105" t="s">
        <v>256</v>
      </c>
      <c r="V105" t="e">
        <f>VLOOKUP(Tabla1313[[#This Row],[Apoyo]],'LM SAP'!A:I,9,FALSE)</f>
        <v>#N/A</v>
      </c>
      <c r="W105" t="e">
        <f>VLOOKUP(Tabla1313[[#This Row],[Código Indra]],#REF!,1,FALSE)</f>
        <v>#REF!</v>
      </c>
    </row>
    <row r="106" spans="1:23" s="130" customFormat="1" ht="60.75" customHeight="1" x14ac:dyDescent="0.25">
      <c r="A106" s="64">
        <v>102</v>
      </c>
      <c r="B106" s="64" t="s">
        <v>600</v>
      </c>
      <c r="C106" s="75" t="s">
        <v>601</v>
      </c>
      <c r="D106" s="64"/>
      <c r="E106" s="75" t="s">
        <v>602</v>
      </c>
      <c r="F106" s="64">
        <v>1</v>
      </c>
      <c r="G106" s="61" t="s">
        <v>234</v>
      </c>
      <c r="H106" s="61" t="s">
        <v>250</v>
      </c>
      <c r="I106" s="61" t="s">
        <v>251</v>
      </c>
      <c r="J106" s="64" t="s">
        <v>474</v>
      </c>
      <c r="K106" s="213" t="s">
        <v>216</v>
      </c>
      <c r="L106" s="222">
        <v>60005189</v>
      </c>
      <c r="M106" s="223">
        <v>45622</v>
      </c>
      <c r="N106" s="192"/>
      <c r="O106" s="182" t="s">
        <v>603</v>
      </c>
      <c r="P106" s="218" t="str">
        <f>IF(LEFT(B106,5)="09735",
    IF(ISNA(VLOOKUP(Tabla1313[[#This Row],[Apoyo]],'LM SAP'!A:G,1,FALSE)),
        "No Disponible",
        IF(VLOOKUP(Tabla1313[[#This Row],[Apoyo]],'LM SAP'!A:AD,9,FALSE)="RR",
            "Disponible",
            "Firmas SAP"
        )
    ),
    "CONSULTAR"
)</f>
        <v>No Disponible</v>
      </c>
      <c r="Q106" s="63" t="str">
        <f>MID(Tabla1313[[#This Row],[Código Indra]],1,13)</f>
        <v>0973524330300</v>
      </c>
      <c r="R106" s="63" t="s">
        <v>255</v>
      </c>
      <c r="S106" s="128" t="str">
        <f>IF(ISNA(VLOOKUP(Tabla1313[[#This Row],[Código Indra]],#REF!,1,FALSE)),"NO", "SI")</f>
        <v>SI</v>
      </c>
      <c r="T106" s="129"/>
      <c r="U106" s="130" t="s">
        <v>256</v>
      </c>
      <c r="V106" s="130" t="e">
        <f>VLOOKUP(Tabla1313[[#This Row],[Apoyo]],'LM SAP'!A:I,9,FALSE)</f>
        <v>#N/A</v>
      </c>
      <c r="W106" s="130" t="e">
        <f>VLOOKUP(Tabla1313[[#This Row],[Código Indra]],#REF!,1,FALSE)</f>
        <v>#REF!</v>
      </c>
    </row>
    <row r="107" spans="1:23" ht="30" x14ac:dyDescent="0.25">
      <c r="A107" s="64">
        <v>108</v>
      </c>
      <c r="B107" s="61" t="s">
        <v>73</v>
      </c>
      <c r="C107" s="76" t="s">
        <v>604</v>
      </c>
      <c r="D107" s="64"/>
      <c r="E107" s="76" t="s">
        <v>605</v>
      </c>
      <c r="F107" s="64">
        <v>1</v>
      </c>
      <c r="G107" s="61" t="s">
        <v>234</v>
      </c>
      <c r="H107" s="61" t="s">
        <v>250</v>
      </c>
      <c r="I107" s="64" t="s">
        <v>276</v>
      </c>
      <c r="J107" s="64" t="s">
        <v>474</v>
      </c>
      <c r="K107" s="213" t="s">
        <v>215</v>
      </c>
      <c r="L107" s="222">
        <v>60005255</v>
      </c>
      <c r="M107" s="223">
        <v>45630</v>
      </c>
      <c r="N107" s="223"/>
      <c r="O107" s="243" t="s">
        <v>606</v>
      </c>
      <c r="P107" s="220" t="str">
        <f>IF(LEFT(B107,5)="09735",
    IF(ISNA(VLOOKUP(Tabla1313[[#This Row],[Apoyo]],'LM SAP'!A:G,1,FALSE)),
        "No Disponible",
        IF(VLOOKUP(Tabla1313[[#This Row],[Apoyo]],'LM SAP'!A:AD,9,FALSE)="RR",
            "Disponible",
            "Firmas SAP"
        )
    ),
    "CONSULTAR"
)</f>
        <v>No Disponible</v>
      </c>
      <c r="Q107" s="63" t="str">
        <f>MID(Tabla1313[[#This Row],[Código Indra]],1,13)</f>
        <v>0973524190100</v>
      </c>
      <c r="R107" s="63" t="s">
        <v>255</v>
      </c>
      <c r="S107" s="90" t="str">
        <f>IF(ISNA(VLOOKUP(Tabla1313[[#This Row],[Código Indra]],#REF!,1,FALSE)),"NO", "SI")</f>
        <v>SI</v>
      </c>
      <c r="T107" s="91"/>
      <c r="U107" t="s">
        <v>227</v>
      </c>
      <c r="V107" t="e">
        <f>VLOOKUP(Tabla1313[[#This Row],[Apoyo]],'LM SAP'!A:I,9,FALSE)</f>
        <v>#N/A</v>
      </c>
      <c r="W107" t="e">
        <f>VLOOKUP(Tabla1313[[#This Row],[Código Indra]],#REF!,1,FALSE)</f>
        <v>#REF!</v>
      </c>
    </row>
    <row r="108" spans="1:23" x14ac:dyDescent="0.25">
      <c r="A108" s="64">
        <v>109</v>
      </c>
      <c r="B108" s="64" t="s">
        <v>607</v>
      </c>
      <c r="C108" s="75" t="s">
        <v>608</v>
      </c>
      <c r="D108" s="64"/>
      <c r="E108" s="76"/>
      <c r="F108" s="64">
        <v>1</v>
      </c>
      <c r="G108" s="61" t="s">
        <v>260</v>
      </c>
      <c r="H108" s="61" t="s">
        <v>261</v>
      </c>
      <c r="I108" s="61" t="s">
        <v>321</v>
      </c>
      <c r="J108" s="64"/>
      <c r="K108" s="213" t="s">
        <v>213</v>
      </c>
      <c r="L108" s="191"/>
      <c r="M108" s="192"/>
      <c r="N108" s="192"/>
      <c r="O108" s="232" t="s">
        <v>609</v>
      </c>
      <c r="P108" s="220" t="str">
        <f>IF(LEFT(B108,5)="09735",
    IF(ISNA(VLOOKUP(Tabla1313[[#This Row],[Apoyo]],'LM SAP'!A:G,1,FALSE)),
        "No Disponible",
        IF(VLOOKUP(Tabla1313[[#This Row],[Apoyo]],'LM SAP'!A:AD,9,FALSE)="RR",
            "Disponible",
            "Firmas SAP"
        )
    ),
    "CONSULTAR"
)</f>
        <v>No Disponible</v>
      </c>
      <c r="Q108" s="63" t="str">
        <f>MID(Tabla1313[[#This Row],[Código Indra]],1,13)</f>
        <v>0973525133000</v>
      </c>
      <c r="R108" s="63" t="s">
        <v>255</v>
      </c>
      <c r="S108" s="90" t="str">
        <f>IF(ISNA(VLOOKUP(Tabla1313[[#This Row],[Código Indra]],#REF!,1,FALSE)),"NO", "SI")</f>
        <v>SI</v>
      </c>
      <c r="T108" s="91"/>
      <c r="U108" t="s">
        <v>260</v>
      </c>
      <c r="V108" t="e">
        <f>VLOOKUP(Tabla1313[[#This Row],[Apoyo]],'LM SAP'!A:I,9,FALSE)</f>
        <v>#N/A</v>
      </c>
      <c r="W108" t="e">
        <f>VLOOKUP(Tabla1313[[#This Row],[Código Indra]],#REF!,1,FALSE)</f>
        <v>#REF!</v>
      </c>
    </row>
    <row r="109" spans="1:23" ht="45" x14ac:dyDescent="0.25">
      <c r="A109" s="64">
        <v>110</v>
      </c>
      <c r="B109" s="61" t="s">
        <v>100</v>
      </c>
      <c r="C109" s="76" t="s">
        <v>101</v>
      </c>
      <c r="D109" s="64"/>
      <c r="E109" s="76" t="s">
        <v>610</v>
      </c>
      <c r="F109" s="64">
        <v>1</v>
      </c>
      <c r="G109" s="61" t="s">
        <v>260</v>
      </c>
      <c r="H109" s="61" t="s">
        <v>261</v>
      </c>
      <c r="I109" s="64" t="s">
        <v>321</v>
      </c>
      <c r="J109" s="64"/>
      <c r="K109" s="213" t="s">
        <v>212</v>
      </c>
      <c r="L109" s="191"/>
      <c r="M109" s="192"/>
      <c r="N109" s="192"/>
      <c r="O109" s="193"/>
      <c r="P109" s="220" t="str">
        <f>IF(LEFT(B109,5)="09735",
    IF(ISNA(VLOOKUP(Tabla1313[[#This Row],[Apoyo]],'LM SAP'!A:G,1,FALSE)),
        "No Disponible",
        IF(VLOOKUP(Tabla1313[[#This Row],[Apoyo]],'LM SAP'!A:AD,9,FALSE)="RR",
            "Disponible",
            "Firmas SAP"
        )
    ),
    "CONSULTAR"
)</f>
        <v>No Disponible</v>
      </c>
      <c r="Q109" s="63" t="str">
        <f>MID(Tabla1313[[#This Row],[Código Indra]],1,13)</f>
        <v>0973525170000</v>
      </c>
      <c r="R109" s="63" t="s">
        <v>255</v>
      </c>
      <c r="S109" s="90" t="str">
        <f>IF(ISNA(VLOOKUP(Tabla1313[[#This Row],[Código Indra]],#REF!,1,FALSE)),"NO", "SI")</f>
        <v>SI</v>
      </c>
      <c r="T109" s="91"/>
      <c r="U109" t="s">
        <v>260</v>
      </c>
      <c r="V109" t="e">
        <f>VLOOKUP(Tabla1313[[#This Row],[Apoyo]],'LM SAP'!A:I,9,FALSE)</f>
        <v>#N/A</v>
      </c>
      <c r="W109" t="e">
        <f>VLOOKUP(Tabla1313[[#This Row],[Código Indra]],#REF!,1,FALSE)</f>
        <v>#REF!</v>
      </c>
    </row>
    <row r="110" spans="1:23" x14ac:dyDescent="0.25">
      <c r="A110" s="64">
        <v>111</v>
      </c>
      <c r="B110" s="64" t="s">
        <v>611</v>
      </c>
      <c r="C110" s="75" t="s">
        <v>612</v>
      </c>
      <c r="D110" s="64"/>
      <c r="E110" s="254" t="s">
        <v>613</v>
      </c>
      <c r="F110" s="64">
        <v>1</v>
      </c>
      <c r="G110" s="61" t="s">
        <v>234</v>
      </c>
      <c r="H110" s="64"/>
      <c r="I110" s="61" t="s">
        <v>251</v>
      </c>
      <c r="J110" s="64"/>
      <c r="K110" s="213" t="s">
        <v>212</v>
      </c>
      <c r="L110" s="191"/>
      <c r="M110" s="192"/>
      <c r="N110" s="192"/>
      <c r="O110" s="232" t="s">
        <v>614</v>
      </c>
      <c r="P110" s="220" t="str">
        <f>IF(LEFT(B110,5)="09735",
    IF(ISNA(VLOOKUP(Tabla1313[[#This Row],[Apoyo]],'LM SAP'!A:G,1,FALSE)),
        "No Disponible",
        IF(VLOOKUP(Tabla1313[[#This Row],[Apoyo]],'LM SAP'!A:AD,9,FALSE)="RR",
            "Disponible",
            "Firmas SAP"
        )
    ),
    "CONSULTAR"
)</f>
        <v>Disponible</v>
      </c>
      <c r="Q110" s="63" t="str">
        <f>MID(Tabla1313[[#This Row],[Código Indra]],1,13)</f>
        <v>0973525190600</v>
      </c>
      <c r="R110" s="63" t="s">
        <v>255</v>
      </c>
      <c r="S110" s="90" t="str">
        <f>IF(ISNA(VLOOKUP(Tabla1313[[#This Row],[Código Indra]],#REF!,1,FALSE)),"NO", "SI")</f>
        <v>SI</v>
      </c>
      <c r="T110" s="91"/>
      <c r="U110" t="s">
        <v>255</v>
      </c>
      <c r="V110" t="str">
        <f>VLOOKUP(Tabla1313[[#This Row],[Apoyo]],'LM SAP'!A:I,9,FALSE)</f>
        <v>RR</v>
      </c>
      <c r="W110" t="e">
        <f>VLOOKUP(Tabla1313[[#This Row],[Código Indra]],#REF!,1,FALSE)</f>
        <v>#REF!</v>
      </c>
    </row>
    <row r="111" spans="1:23" ht="51.75" customHeight="1" x14ac:dyDescent="0.25">
      <c r="A111" s="64">
        <v>112</v>
      </c>
      <c r="B111" s="61" t="s">
        <v>615</v>
      </c>
      <c r="C111" s="76" t="s">
        <v>616</v>
      </c>
      <c r="D111" s="64"/>
      <c r="E111" s="254" t="s">
        <v>617</v>
      </c>
      <c r="F111" s="64">
        <v>1</v>
      </c>
      <c r="G111" s="61" t="s">
        <v>234</v>
      </c>
      <c r="H111" s="64"/>
      <c r="I111" s="64" t="s">
        <v>321</v>
      </c>
      <c r="J111" s="64"/>
      <c r="K111" s="213" t="s">
        <v>221</v>
      </c>
      <c r="L111" s="222">
        <v>60004557</v>
      </c>
      <c r="M111" s="223">
        <v>45572</v>
      </c>
      <c r="N111" s="223">
        <v>45635</v>
      </c>
      <c r="O111" s="242" t="s">
        <v>618</v>
      </c>
      <c r="P111" s="220" t="str">
        <f>IF(LEFT(B111,5)="09735",
    IF(ISNA(VLOOKUP(Tabla1313[[#This Row],[Apoyo]],'LM SAP'!A:G,1,FALSE)),
        "No Disponible",
        IF(VLOOKUP(Tabla1313[[#This Row],[Apoyo]],'LM SAP'!A:AD,9,FALSE)="RR",
            "Disponible",
            "Firmas SAP"
        )
    ),
    "CONSULTAR"
)</f>
        <v>CONSULTAR</v>
      </c>
      <c r="Q111" s="63" t="str">
        <f>MID(Tabla1313[[#This Row],[Código Indra]],1,13)</f>
        <v>0972825201800</v>
      </c>
      <c r="R111" s="63" t="s">
        <v>255</v>
      </c>
      <c r="S111" s="90" t="str">
        <f>IF(ISNA(VLOOKUP(Tabla1313[[#This Row],[Código Indra]],#REF!,1,FALSE)),"NO", "SI")</f>
        <v>SI</v>
      </c>
      <c r="T111" s="91"/>
      <c r="U111" t="s">
        <v>255</v>
      </c>
      <c r="V111" t="e">
        <f>VLOOKUP(Tabla1313[[#This Row],[Apoyo]],'LM SAP'!A:I,9,FALSE)</f>
        <v>#N/A</v>
      </c>
      <c r="W111" t="e">
        <f>VLOOKUP(Tabla1313[[#This Row],[Código Indra]],#REF!,1,FALSE)</f>
        <v>#REF!</v>
      </c>
    </row>
    <row r="112" spans="1:23" ht="45" x14ac:dyDescent="0.25">
      <c r="A112" s="64">
        <v>113</v>
      </c>
      <c r="B112" s="255" t="s">
        <v>619</v>
      </c>
      <c r="C112" s="75" t="s">
        <v>620</v>
      </c>
      <c r="D112" s="64"/>
      <c r="E112" s="75" t="s">
        <v>621</v>
      </c>
      <c r="F112" s="64">
        <v>1</v>
      </c>
      <c r="G112" s="61" t="s">
        <v>622</v>
      </c>
      <c r="H112" s="61" t="s">
        <v>275</v>
      </c>
      <c r="I112" s="61" t="s">
        <v>251</v>
      </c>
      <c r="J112" s="64"/>
      <c r="K112" s="213" t="s">
        <v>216</v>
      </c>
      <c r="L112" s="222">
        <v>60004993</v>
      </c>
      <c r="M112" s="223">
        <v>45615</v>
      </c>
      <c r="N112" s="192"/>
      <c r="O112" s="239" t="s">
        <v>623</v>
      </c>
      <c r="P112" s="220" t="str">
        <f>IF(LEFT(B112,5)="09735",
    IF(ISNA(VLOOKUP(Tabla1313[[#This Row],[Apoyo]],'LM SAP'!A:G,1,FALSE)),
        "No Disponible",
        IF(VLOOKUP(Tabla1313[[#This Row],[Apoyo]],'LM SAP'!A:AD,9,FALSE)="RR",
            "Disponible",
            "Firmas SAP"
        )
    ),
    "CONSULTAR"
)</f>
        <v>Disponible</v>
      </c>
      <c r="Q112" s="63" t="str">
        <f>MID(Tabla1313[[#This Row],[Código Indra]],1,13)</f>
        <v>0973525203200</v>
      </c>
      <c r="R112" s="63" t="s">
        <v>255</v>
      </c>
      <c r="S112" s="90" t="str">
        <f>IF(ISNA(VLOOKUP(Tabla1313[[#This Row],[Código Indra]],#REF!,1,FALSE)),"NO", "SI")</f>
        <v>SI</v>
      </c>
      <c r="T112" s="91"/>
      <c r="U112" t="s">
        <v>260</v>
      </c>
      <c r="V112" t="str">
        <f>VLOOKUP(Tabla1313[[#This Row],[Apoyo]],'LM SAP'!A:I,9,FALSE)</f>
        <v>RR</v>
      </c>
      <c r="W112" t="e">
        <f>VLOOKUP(Tabla1313[[#This Row],[Código Indra]],#REF!,1,FALSE)</f>
        <v>#REF!</v>
      </c>
    </row>
    <row r="113" spans="1:23" x14ac:dyDescent="0.25">
      <c r="A113" s="64">
        <v>114</v>
      </c>
      <c r="B113" s="61" t="s">
        <v>624</v>
      </c>
      <c r="C113" s="76" t="s">
        <v>625</v>
      </c>
      <c r="D113" s="64"/>
      <c r="E113" s="76" t="s">
        <v>469</v>
      </c>
      <c r="F113" s="64">
        <v>1</v>
      </c>
      <c r="G113" s="61" t="s">
        <v>260</v>
      </c>
      <c r="H113" s="61" t="s">
        <v>261</v>
      </c>
      <c r="I113" s="64" t="s">
        <v>321</v>
      </c>
      <c r="J113" s="64"/>
      <c r="K113" s="184" t="s">
        <v>221</v>
      </c>
      <c r="L113" s="191">
        <v>60004558</v>
      </c>
      <c r="M113" s="192">
        <v>45572</v>
      </c>
      <c r="N113" s="192">
        <v>45588</v>
      </c>
      <c r="O113" s="197" t="s">
        <v>281</v>
      </c>
      <c r="P113" s="226" t="str">
        <f>IF(LEFT(B113,5)="09735",
    IF(ISNA(VLOOKUP(Tabla1313[[#This Row],[Apoyo]],'LM SAP'!A:G,1,FALSE)),
        "No Disponible",
        IF(VLOOKUP(Tabla1313[[#This Row],[Apoyo]],'LM SAP'!A:AD,9,FALSE)="RR",
            "Disponible",
            "Firmas SAP"
        )
    ),
    "CONSULTAR"
)</f>
        <v>CONSULTAR</v>
      </c>
      <c r="Q113" s="165" t="str">
        <f>MID(Tabla1313[[#This Row],[Código Indra]],1,13)</f>
        <v>0972825203400</v>
      </c>
      <c r="R113" s="63" t="s">
        <v>255</v>
      </c>
      <c r="S113" s="166" t="str">
        <f>IF(ISNA(VLOOKUP(Tabla1313[[#This Row],[Código Indra]],#REF!,1,FALSE)),"NO", "SI")</f>
        <v>SI</v>
      </c>
      <c r="T113" s="8"/>
      <c r="U113" t="s">
        <v>260</v>
      </c>
      <c r="V113" t="e">
        <f>VLOOKUP(Tabla1313[[#This Row],[Apoyo]],'LM SAP'!A:I,9,FALSE)</f>
        <v>#N/A</v>
      </c>
      <c r="W113" t="e">
        <f>VLOOKUP(Tabla1313[[#This Row],[Código Indra]],#REF!,1,FALSE)</f>
        <v>#REF!</v>
      </c>
    </row>
    <row r="114" spans="1:23" ht="45" x14ac:dyDescent="0.25">
      <c r="A114" s="64">
        <v>115</v>
      </c>
      <c r="B114" s="64" t="s">
        <v>626</v>
      </c>
      <c r="C114" s="75" t="s">
        <v>627</v>
      </c>
      <c r="D114" s="64"/>
      <c r="E114" s="75" t="s">
        <v>628</v>
      </c>
      <c r="F114" s="64">
        <v>1</v>
      </c>
      <c r="G114" s="61" t="s">
        <v>260</v>
      </c>
      <c r="H114" s="61" t="s">
        <v>261</v>
      </c>
      <c r="I114" s="61" t="s">
        <v>560</v>
      </c>
      <c r="J114" s="64"/>
      <c r="K114" s="213" t="s">
        <v>252</v>
      </c>
      <c r="L114" s="191">
        <v>60004559</v>
      </c>
      <c r="M114" s="192">
        <v>45572</v>
      </c>
      <c r="N114" s="192">
        <v>45580</v>
      </c>
      <c r="O114" t="s">
        <v>629</v>
      </c>
      <c r="P114" s="220" t="str">
        <f>IF(LEFT(B114,5)="09735",
    IF(ISNA(VLOOKUP(Tabla1313[[#This Row],[Apoyo]],'LM SAP'!A:G,1,FALSE)),
        "No Disponible",
        IF(VLOOKUP(Tabla1313[[#This Row],[Apoyo]],'LM SAP'!A:AD,9,FALSE)="RR",
            "Disponible",
            "Firmas SAP"
        )
    ),
    "CONSULTAR"
)</f>
        <v>CONSULTAR</v>
      </c>
      <c r="Q114" s="63" t="str">
        <f>MID(Tabla1313[[#This Row],[Código Indra]],1,13)</f>
        <v>0972825271100</v>
      </c>
      <c r="R114" s="63" t="s">
        <v>255</v>
      </c>
      <c r="S114" s="90" t="str">
        <f>IF(ISNA(VLOOKUP(Tabla1313[[#This Row],[Código Indra]],#REF!,1,FALSE)),"NO", "SI")</f>
        <v>SI</v>
      </c>
      <c r="T114" s="91"/>
      <c r="U114" t="s">
        <v>260</v>
      </c>
      <c r="V114" t="e">
        <f>VLOOKUP(Tabla1313[[#This Row],[Apoyo]],'LM SAP'!A:I,9,FALSE)</f>
        <v>#N/A</v>
      </c>
      <c r="W114" t="e">
        <f>VLOOKUP(Tabla1313[[#This Row],[Código Indra]],#REF!,1,FALSE)</f>
        <v>#REF!</v>
      </c>
    </row>
    <row r="115" spans="1:23" x14ac:dyDescent="0.25">
      <c r="A115" s="64">
        <v>119</v>
      </c>
      <c r="B115" s="61" t="s">
        <v>630</v>
      </c>
      <c r="C115" s="76" t="s">
        <v>631</v>
      </c>
      <c r="D115" s="64"/>
      <c r="E115" s="76" t="s">
        <v>469</v>
      </c>
      <c r="F115" s="64">
        <v>1</v>
      </c>
      <c r="G115" s="61" t="s">
        <v>622</v>
      </c>
      <c r="H115" s="61" t="s">
        <v>275</v>
      </c>
      <c r="I115" s="64" t="s">
        <v>560</v>
      </c>
      <c r="J115" s="64"/>
      <c r="K115" s="213" t="s">
        <v>213</v>
      </c>
      <c r="L115" s="191"/>
      <c r="M115" s="192"/>
      <c r="N115" s="192"/>
      <c r="O115" s="193"/>
      <c r="P115" s="220" t="str">
        <f>IF(LEFT(B115,5)="09735",
    IF(ISNA(VLOOKUP(Tabla1313[[#This Row],[Apoyo]],'LM SAP'!A:G,1,FALSE)),
        "No Disponible",
        IF(VLOOKUP(Tabla1313[[#This Row],[Apoyo]],'LM SAP'!A:AD,9,FALSE)="RR",
            "Disponible",
            "Firmas SAP"
        )
    ),
    "CONSULTAR"
)</f>
        <v>CONSULTAR</v>
      </c>
      <c r="Q115" s="63" t="str">
        <f>MID(Tabla1313[[#This Row],[Código Indra]],1,13)</f>
        <v>0972825390000</v>
      </c>
      <c r="R115" s="63" t="s">
        <v>260</v>
      </c>
      <c r="S115" s="90" t="str">
        <f>IF(ISNA(VLOOKUP(Tabla1313[[#This Row],[Código Indra]],#REF!,1,FALSE)),"NO", "SI")</f>
        <v>SI</v>
      </c>
      <c r="T115" s="91"/>
      <c r="U115" t="s">
        <v>260</v>
      </c>
      <c r="V115" t="e">
        <f>VLOOKUP(Tabla1313[[#This Row],[Apoyo]],'LM SAP'!A:I,9,FALSE)</f>
        <v>#N/A</v>
      </c>
      <c r="W115" t="e">
        <f>VLOOKUP(Tabla1313[[#This Row],[Código Indra]],#REF!,1,FALSE)</f>
        <v>#REF!</v>
      </c>
    </row>
    <row r="116" spans="1:23" ht="75.75" customHeight="1" x14ac:dyDescent="0.25">
      <c r="A116" s="64">
        <v>120</v>
      </c>
      <c r="B116" s="64" t="s">
        <v>632</v>
      </c>
      <c r="C116" s="75" t="s">
        <v>633</v>
      </c>
      <c r="D116" s="64"/>
      <c r="E116" s="75" t="s">
        <v>634</v>
      </c>
      <c r="F116" s="64">
        <v>6</v>
      </c>
      <c r="G116" s="61" t="s">
        <v>260</v>
      </c>
      <c r="H116" s="61" t="s">
        <v>261</v>
      </c>
      <c r="I116" s="61" t="s">
        <v>560</v>
      </c>
      <c r="J116" s="64" t="s">
        <v>474</v>
      </c>
      <c r="K116" s="213" t="s">
        <v>216</v>
      </c>
      <c r="L116" s="222">
        <v>60004563</v>
      </c>
      <c r="M116" s="223">
        <v>45572</v>
      </c>
      <c r="N116" s="192"/>
      <c r="O116" s="239" t="s">
        <v>635</v>
      </c>
      <c r="P116" s="220" t="str">
        <f>IF(LEFT(B116,5)="09735",
    IF(ISNA(VLOOKUP(Tabla1313[[#This Row],[Apoyo]],'LM SAP'!A:G,1,FALSE)),
        "No Disponible",
        IF(VLOOKUP(Tabla1313[[#This Row],[Apoyo]],'LM SAP'!A:AD,9,FALSE)="RR",
            "Disponible",
            "Firmas SAP"
        )
    ),
    "CONSULTAR"
)</f>
        <v>CONSULTAR</v>
      </c>
      <c r="Q116" s="63" t="str">
        <f>MID(Tabla1313[[#This Row],[Código Indra]],1,13)</f>
        <v>0972828220000</v>
      </c>
      <c r="R116" s="63" t="s">
        <v>255</v>
      </c>
      <c r="S116" s="90" t="str">
        <f>IF(ISNA(VLOOKUP(Tabla1313[[#This Row],[Código Indra]],#REF!,1,FALSE)),"NO", "SI")</f>
        <v>SI</v>
      </c>
      <c r="T116" s="91"/>
      <c r="U116" t="s">
        <v>260</v>
      </c>
      <c r="V116" t="e">
        <f>VLOOKUP(Tabla1313[[#This Row],[Apoyo]],'LM SAP'!A:I,9,FALSE)</f>
        <v>#N/A</v>
      </c>
      <c r="W116" t="e">
        <f>VLOOKUP(Tabla1313[[#This Row],[Código Indra]],#REF!,1,FALSE)</f>
        <v>#REF!</v>
      </c>
    </row>
    <row r="117" spans="1:23" ht="30" x14ac:dyDescent="0.25">
      <c r="A117" s="64">
        <v>127</v>
      </c>
      <c r="B117" s="61" t="s">
        <v>636</v>
      </c>
      <c r="C117" s="76" t="s">
        <v>83</v>
      </c>
      <c r="D117" s="64"/>
      <c r="E117" s="76" t="s">
        <v>637</v>
      </c>
      <c r="F117" s="64">
        <v>1</v>
      </c>
      <c r="G117" s="61" t="s">
        <v>234</v>
      </c>
      <c r="H117" s="61" t="s">
        <v>275</v>
      </c>
      <c r="I117" s="64" t="s">
        <v>321</v>
      </c>
      <c r="J117" s="64" t="s">
        <v>474</v>
      </c>
      <c r="K117" s="213" t="s">
        <v>212</v>
      </c>
      <c r="L117" s="191"/>
      <c r="M117" s="192"/>
      <c r="N117" s="192"/>
      <c r="O117" s="247" t="s">
        <v>638</v>
      </c>
      <c r="P117" s="220" t="str">
        <f>IF(LEFT(B117,5)="09735",
    IF(ISNA(VLOOKUP(Tabla1313[[#This Row],[Apoyo]],'LM SAP'!A:G,1,FALSE)),
        "No Disponible",
        IF(VLOOKUP(Tabla1313[[#This Row],[Apoyo]],'LM SAP'!A:AD,9,FALSE)="RR",
            "Disponible",
            "Firmas SAP"
        )
    ),
    "CONSULTAR"
)</f>
        <v>No Disponible</v>
      </c>
      <c r="Q117" s="63" t="str">
        <f>MID(Tabla1313[[#This Row],[Código Indra]],1,13)</f>
        <v>0973524020000</v>
      </c>
      <c r="R117" s="63" t="s">
        <v>255</v>
      </c>
      <c r="S117" s="90" t="str">
        <f>IF(ISNA(VLOOKUP(Tabla1313[[#This Row],[Código Indra]],#REF!,1,FALSE)),"NO", "SI")</f>
        <v>SI</v>
      </c>
      <c r="T117" s="91"/>
      <c r="U117" t="s">
        <v>227</v>
      </c>
      <c r="V117" t="e">
        <f>VLOOKUP(Tabla1313[[#This Row],[Apoyo]],'LM SAP'!A:I,9,FALSE)</f>
        <v>#N/A</v>
      </c>
      <c r="W117" t="e">
        <f>VLOOKUP(Tabla1313[[#This Row],[Código Indra]],#REF!,1,FALSE)</f>
        <v>#REF!</v>
      </c>
    </row>
    <row r="118" spans="1:23" ht="24" x14ac:dyDescent="0.25">
      <c r="A118" s="64">
        <v>128</v>
      </c>
      <c r="B118" s="64" t="s">
        <v>158</v>
      </c>
      <c r="C118" s="75" t="s">
        <v>159</v>
      </c>
      <c r="D118" s="64"/>
      <c r="E118" s="75" t="s">
        <v>639</v>
      </c>
      <c r="F118" s="64">
        <v>1</v>
      </c>
      <c r="G118" s="61" t="s">
        <v>234</v>
      </c>
      <c r="H118" s="61" t="s">
        <v>275</v>
      </c>
      <c r="I118" s="61" t="s">
        <v>591</v>
      </c>
      <c r="J118" s="64" t="s">
        <v>474</v>
      </c>
      <c r="K118" s="213" t="s">
        <v>215</v>
      </c>
      <c r="L118" s="222">
        <v>60005076</v>
      </c>
      <c r="M118" s="223">
        <v>45616</v>
      </c>
      <c r="N118" s="192"/>
      <c r="O118" s="243" t="s">
        <v>640</v>
      </c>
      <c r="P118" s="220" t="str">
        <f>IF(LEFT(B118,5)="09735",
    IF(ISNA(VLOOKUP(Tabla1313[[#This Row],[Apoyo]],'LM SAP'!A:G,1,FALSE)),
        "No Disponible",
        IF(VLOOKUP(Tabla1313[[#This Row],[Apoyo]],'LM SAP'!A:AD,9,FALSE)="RR",
            "Disponible",
            "Firmas SAP"
        )
    ),
    "CONSULTAR"
)</f>
        <v>No Disponible</v>
      </c>
      <c r="Q118" s="63" t="str">
        <f>MID(Tabla1313[[#This Row],[Código Indra]],1,13)</f>
        <v>0973524070000</v>
      </c>
      <c r="R118" s="63" t="s">
        <v>255</v>
      </c>
      <c r="S118" s="90" t="str">
        <f>IF(ISNA(VLOOKUP(Tabla1313[[#This Row],[Código Indra]],#REF!,1,FALSE)),"NO", "SI")</f>
        <v>SI</v>
      </c>
      <c r="T118" s="91"/>
      <c r="U118" t="s">
        <v>227</v>
      </c>
      <c r="V118" t="e">
        <f>VLOOKUP(Tabla1313[[#This Row],[Apoyo]],'LM SAP'!A:I,9,FALSE)</f>
        <v>#N/A</v>
      </c>
      <c r="W118" t="e">
        <f>VLOOKUP(Tabla1313[[#This Row],[Código Indra]],#REF!,1,FALSE)</f>
        <v>#REF!</v>
      </c>
    </row>
    <row r="119" spans="1:23" ht="45" x14ac:dyDescent="0.25">
      <c r="A119" s="64">
        <v>129</v>
      </c>
      <c r="B119" s="61" t="s">
        <v>56</v>
      </c>
      <c r="C119" s="76" t="s">
        <v>57</v>
      </c>
      <c r="D119" s="64"/>
      <c r="E119" s="76" t="s">
        <v>641</v>
      </c>
      <c r="F119" s="64">
        <v>1</v>
      </c>
      <c r="G119" s="61" t="s">
        <v>234</v>
      </c>
      <c r="H119" s="61" t="s">
        <v>250</v>
      </c>
      <c r="I119" s="64" t="s">
        <v>276</v>
      </c>
      <c r="J119" s="64" t="s">
        <v>474</v>
      </c>
      <c r="K119" s="213" t="s">
        <v>215</v>
      </c>
      <c r="L119" s="191">
        <v>60005315</v>
      </c>
      <c r="M119" s="192"/>
      <c r="N119" s="192"/>
      <c r="O119" s="247"/>
      <c r="P119" s="220" t="str">
        <f>IF(LEFT(B119,5)="09735",
    IF(ISNA(VLOOKUP(Tabla1313[[#This Row],[Apoyo]],'LM SAP'!A:G,1,FALSE)),
        "No Disponible",
        IF(VLOOKUP(Tabla1313[[#This Row],[Apoyo]],'LM SAP'!A:AD,9,FALSE)="RR",
            "Disponible",
            "Firmas SAP"
        )
    ),
    "CONSULTAR"
)</f>
        <v>No Disponible</v>
      </c>
      <c r="Q119" s="63" t="str">
        <f>MID(Tabla1313[[#This Row],[Código Indra]],1,13)</f>
        <v>0973524190000</v>
      </c>
      <c r="R119" s="63" t="s">
        <v>255</v>
      </c>
      <c r="S119" s="90" t="str">
        <f>IF(ISNA(VLOOKUP(Tabla1313[[#This Row],[Código Indra]],#REF!,1,FALSE)),"NO", "SI")</f>
        <v>SI</v>
      </c>
      <c r="T119" s="91"/>
      <c r="U119" t="s">
        <v>642</v>
      </c>
      <c r="V119" t="e">
        <f>VLOOKUP(Tabla1313[[#This Row],[Apoyo]],'LM SAP'!A:I,9,FALSE)</f>
        <v>#N/A</v>
      </c>
      <c r="W119" t="e">
        <f>VLOOKUP(Tabla1313[[#This Row],[Código Indra]],#REF!,1,FALSE)</f>
        <v>#REF!</v>
      </c>
    </row>
    <row r="120" spans="1:23" ht="30" x14ac:dyDescent="0.25">
      <c r="A120" s="64">
        <v>131</v>
      </c>
      <c r="B120" s="61" t="s">
        <v>643</v>
      </c>
      <c r="C120" s="76" t="s">
        <v>71</v>
      </c>
      <c r="D120" s="64"/>
      <c r="E120" s="76" t="s">
        <v>644</v>
      </c>
      <c r="F120" s="64">
        <v>1</v>
      </c>
      <c r="G120" s="61" t="s">
        <v>234</v>
      </c>
      <c r="H120" s="61" t="s">
        <v>250</v>
      </c>
      <c r="I120" s="64" t="s">
        <v>321</v>
      </c>
      <c r="J120" s="64" t="s">
        <v>474</v>
      </c>
      <c r="K120" s="213" t="s">
        <v>215</v>
      </c>
      <c r="L120" s="222">
        <v>60005258</v>
      </c>
      <c r="M120" s="223">
        <v>45630</v>
      </c>
      <c r="N120" s="192"/>
      <c r="O120" s="243" t="s">
        <v>645</v>
      </c>
      <c r="P120" s="220" t="str">
        <f>IF(LEFT(B120,5)="09735",
    IF(ISNA(VLOOKUP(Tabla1313[[#This Row],[Apoyo]],'LM SAP'!A:G,1,FALSE)),
        "No Disponible",
        IF(VLOOKUP(Tabla1313[[#This Row],[Apoyo]],'LM SAP'!A:AD,9,FALSE)="RR",
            "Disponible",
            "Firmas SAP"
        )
    ),
    "CONSULTAR"
)</f>
        <v>No Disponible</v>
      </c>
      <c r="Q120" s="63" t="str">
        <f>MID(Tabla1313[[#This Row],[Código Indra]],1,13)</f>
        <v>0973524190300</v>
      </c>
      <c r="R120" s="63" t="s">
        <v>255</v>
      </c>
      <c r="S120" s="90" t="str">
        <f>IF(ISNA(VLOOKUP(Tabla1313[[#This Row],[Código Indra]],#REF!,1,FALSE)),"NO", "SI")</f>
        <v>SI</v>
      </c>
      <c r="T120" s="91"/>
      <c r="U120" t="s">
        <v>227</v>
      </c>
      <c r="V120" t="e">
        <f>VLOOKUP(Tabla1313[[#This Row],[Apoyo]],'LM SAP'!A:I,9,FALSE)</f>
        <v>#N/A</v>
      </c>
      <c r="W120" t="e">
        <f>VLOOKUP(Tabla1313[[#This Row],[Código Indra]],#REF!,1,FALSE)</f>
        <v>#REF!</v>
      </c>
    </row>
    <row r="121" spans="1:23" s="130" customFormat="1" ht="45" x14ac:dyDescent="0.25">
      <c r="A121" s="152">
        <v>134</v>
      </c>
      <c r="B121" s="125" t="s">
        <v>60</v>
      </c>
      <c r="C121" s="126" t="s">
        <v>61</v>
      </c>
      <c r="D121" s="152"/>
      <c r="E121" s="126" t="s">
        <v>646</v>
      </c>
      <c r="F121" s="152">
        <v>1</v>
      </c>
      <c r="G121" s="125" t="s">
        <v>234</v>
      </c>
      <c r="H121" s="152"/>
      <c r="I121" s="125" t="s">
        <v>276</v>
      </c>
      <c r="J121" s="152" t="s">
        <v>474</v>
      </c>
      <c r="K121" s="250" t="s">
        <v>215</v>
      </c>
      <c r="L121" s="251">
        <v>60005363</v>
      </c>
      <c r="M121" s="252">
        <v>45636</v>
      </c>
      <c r="N121" s="198"/>
      <c r="O121" s="256"/>
      <c r="P121" s="218" t="str">
        <f>IF(LEFT(B121,5)="09735",
    IF(ISNA(VLOOKUP(Tabla1313[[#This Row],[Apoyo]],'LM SAP'!A:G,1,FALSE)),
        "No Disponible",
        IF(VLOOKUP(Tabla1313[[#This Row],[Apoyo]],'LM SAP'!A:AD,9,FALSE)="RR",
            "Disponible",
            "Firmas SAP"
        )
    ),
    "CONSULTAR"
)</f>
        <v>No Disponible</v>
      </c>
      <c r="Q121" s="127" t="str">
        <f>MID(Tabla1313[[#This Row],[Código Indra]],1,13)</f>
        <v>0973524200000</v>
      </c>
      <c r="R121" s="63" t="s">
        <v>255</v>
      </c>
      <c r="S121" s="128" t="str">
        <f>IF(ISNA(VLOOKUP(Tabla1313[[#This Row],[Código Indra]],#REF!,1,FALSE)),"NO", "SI")</f>
        <v>SI</v>
      </c>
      <c r="T121" s="129"/>
      <c r="U121" t="s">
        <v>255</v>
      </c>
      <c r="V121" t="e">
        <f>VLOOKUP(Tabla1313[[#This Row],[Apoyo]],'LM SAP'!A:I,9,FALSE)</f>
        <v>#N/A</v>
      </c>
      <c r="W121" s="130" t="e">
        <f>VLOOKUP(Tabla1313[[#This Row],[Código Indra]],#REF!,1,FALSE)</f>
        <v>#REF!</v>
      </c>
    </row>
    <row r="122" spans="1:23" ht="30" x14ac:dyDescent="0.25">
      <c r="A122" s="64">
        <v>136</v>
      </c>
      <c r="B122" s="61" t="s">
        <v>149</v>
      </c>
      <c r="C122" s="76" t="s">
        <v>150</v>
      </c>
      <c r="D122" s="64"/>
      <c r="E122" s="76" t="s">
        <v>647</v>
      </c>
      <c r="F122" s="64">
        <v>1</v>
      </c>
      <c r="G122" s="61" t="s">
        <v>234</v>
      </c>
      <c r="H122" s="64"/>
      <c r="I122" s="64" t="s">
        <v>276</v>
      </c>
      <c r="J122" s="64" t="s">
        <v>474</v>
      </c>
      <c r="K122" s="213" t="s">
        <v>212</v>
      </c>
      <c r="L122" s="191"/>
      <c r="M122" s="192"/>
      <c r="N122" s="192"/>
      <c r="O122" s="247" t="s">
        <v>638</v>
      </c>
      <c r="P122" s="220" t="str">
        <f>IF(LEFT(B122,5)="09735",
    IF(ISNA(VLOOKUP(Tabla1313[[#This Row],[Apoyo]],'LM SAP'!A:G,1,FALSE)),
        "No Disponible",
        IF(VLOOKUP(Tabla1313[[#This Row],[Apoyo]],'LM SAP'!A:AD,9,FALSE)="RR",
            "Disponible",
            "Firmas SAP"
        )
    ),
    "CONSULTAR"
)</f>
        <v>No Disponible</v>
      </c>
      <c r="Q122" s="63" t="str">
        <f>MID(Tabla1313[[#This Row],[Código Indra]],1,13)</f>
        <v>0973524201000</v>
      </c>
      <c r="R122" s="63" t="s">
        <v>255</v>
      </c>
      <c r="S122" s="90" t="str">
        <f>IF(ISNA(VLOOKUP(Tabla1313[[#This Row],[Código Indra]],#REF!,1,FALSE)),"NO", "SI")</f>
        <v>SI</v>
      </c>
      <c r="T122" s="91"/>
      <c r="U122" t="s">
        <v>227</v>
      </c>
      <c r="V122" t="e">
        <f>VLOOKUP(Tabla1313[[#This Row],[Apoyo]],'LM SAP'!A:I,9,FALSE)</f>
        <v>#N/A</v>
      </c>
      <c r="W122" t="e">
        <f>VLOOKUP(Tabla1313[[#This Row],[Código Indra]],#REF!,1,FALSE)</f>
        <v>#REF!</v>
      </c>
    </row>
    <row r="123" spans="1:23" x14ac:dyDescent="0.25">
      <c r="A123" s="64">
        <v>139</v>
      </c>
      <c r="B123" s="64" t="s">
        <v>648</v>
      </c>
      <c r="C123" s="75" t="s">
        <v>649</v>
      </c>
      <c r="D123" s="64"/>
      <c r="E123" s="76"/>
      <c r="F123" s="64">
        <v>1</v>
      </c>
      <c r="G123" s="61" t="s">
        <v>260</v>
      </c>
      <c r="H123" s="61" t="s">
        <v>261</v>
      </c>
      <c r="I123" s="61" t="s">
        <v>650</v>
      </c>
      <c r="J123" s="64" t="s">
        <v>474</v>
      </c>
      <c r="K123" s="213" t="s">
        <v>213</v>
      </c>
      <c r="L123" s="191"/>
      <c r="M123" s="192"/>
      <c r="N123" s="192"/>
      <c r="O123" s="247" t="s">
        <v>638</v>
      </c>
      <c r="P123" s="220" t="str">
        <f>IF(LEFT(B123,5)="09735",
    IF(ISNA(VLOOKUP(Tabla1313[[#This Row],[Apoyo]],'LM SAP'!A:G,1,FALSE)),
        "No Disponible",
        IF(VLOOKUP(Tabla1313[[#This Row],[Apoyo]],'LM SAP'!A:AD,9,FALSE)="RR",
            "Disponible",
            "Firmas SAP"
        )
    ),
    "CONSULTAR"
)</f>
        <v>No Disponible</v>
      </c>
      <c r="Q123" s="63" t="str">
        <f>MID(Tabla1313[[#This Row],[Código Indra]],1,13)</f>
        <v>0973524210000</v>
      </c>
      <c r="R123" s="63" t="s">
        <v>255</v>
      </c>
      <c r="S123" s="90" t="str">
        <f>IF(ISNA(VLOOKUP(Tabla1313[[#This Row],[Código Indra]],#REF!,1,FALSE)),"NO", "SI")</f>
        <v>SI</v>
      </c>
      <c r="T123" s="91"/>
      <c r="U123" t="s">
        <v>260</v>
      </c>
      <c r="V123" t="e">
        <f>VLOOKUP(Tabla1313[[#This Row],[Apoyo]],'LM SAP'!A:I,9,FALSE)</f>
        <v>#N/A</v>
      </c>
      <c r="W123" t="e">
        <f>VLOOKUP(Tabla1313[[#This Row],[Código Indra]],#REF!,1,FALSE)</f>
        <v>#REF!</v>
      </c>
    </row>
    <row r="124" spans="1:23" x14ac:dyDescent="0.25">
      <c r="A124" s="64">
        <v>141</v>
      </c>
      <c r="B124" s="61" t="s">
        <v>108</v>
      </c>
      <c r="C124" s="76" t="s">
        <v>651</v>
      </c>
      <c r="D124" s="64"/>
      <c r="E124" s="76"/>
      <c r="F124" s="64">
        <v>1</v>
      </c>
      <c r="G124" s="61" t="s">
        <v>260</v>
      </c>
      <c r="H124" s="61" t="s">
        <v>261</v>
      </c>
      <c r="I124" s="64" t="s">
        <v>650</v>
      </c>
      <c r="J124" s="64" t="s">
        <v>474</v>
      </c>
      <c r="K124" s="213" t="s">
        <v>215</v>
      </c>
      <c r="L124" s="222">
        <v>60005314</v>
      </c>
      <c r="M124" s="223"/>
      <c r="N124" s="192"/>
      <c r="O124" s="247"/>
      <c r="P124" s="220" t="str">
        <f>IF(LEFT(B124,5)="09735",
    IF(ISNA(VLOOKUP(Tabla1313[[#This Row],[Apoyo]],'LM SAP'!A:G,1,FALSE)),
        "No Disponible",
        IF(VLOOKUP(Tabla1313[[#This Row],[Apoyo]],'LM SAP'!A:AD,9,FALSE)="RR",
            "Disponible",
            "Firmas SAP"
        )
    ),
    "CONSULTAR"
)</f>
        <v>No Disponible</v>
      </c>
      <c r="Q124" s="65" t="str">
        <f>MID(Tabla1313[[#This Row],[Código Indra]],1,13)</f>
        <v>0973524210200</v>
      </c>
      <c r="R124" s="63" t="s">
        <v>255</v>
      </c>
      <c r="S124" s="90" t="str">
        <f>IF(ISNA(VLOOKUP(Tabla1313[[#This Row],[Código Indra]],#REF!,1,FALSE)),"NO", "SI")</f>
        <v>SI</v>
      </c>
      <c r="T124" s="91"/>
      <c r="U124" t="s">
        <v>227</v>
      </c>
      <c r="V124" t="e">
        <f>VLOOKUP(Tabla1313[[#This Row],[Apoyo]],'LM SAP'!A:I,9,FALSE)</f>
        <v>#N/A</v>
      </c>
      <c r="W124" t="e">
        <f>VLOOKUP(Tabla1313[[#This Row],[Código Indra]],#REF!,1,FALSE)</f>
        <v>#REF!</v>
      </c>
    </row>
    <row r="125" spans="1:23" x14ac:dyDescent="0.25">
      <c r="A125" s="64">
        <v>143</v>
      </c>
      <c r="B125" s="64" t="s">
        <v>79</v>
      </c>
      <c r="C125" s="75" t="s">
        <v>80</v>
      </c>
      <c r="D125" s="64"/>
      <c r="E125" s="76"/>
      <c r="F125" s="64">
        <v>1</v>
      </c>
      <c r="G125" s="61" t="s">
        <v>260</v>
      </c>
      <c r="H125" s="61" t="s">
        <v>261</v>
      </c>
      <c r="I125" s="61" t="s">
        <v>276</v>
      </c>
      <c r="J125" s="64" t="s">
        <v>474</v>
      </c>
      <c r="K125" s="213" t="s">
        <v>212</v>
      </c>
      <c r="L125" s="191"/>
      <c r="M125" s="192"/>
      <c r="N125" s="192"/>
      <c r="O125" s="247" t="s">
        <v>638</v>
      </c>
      <c r="P125" s="220" t="str">
        <f>IF(LEFT(B125,5)="09735",
    IF(ISNA(VLOOKUP(Tabla1313[[#This Row],[Apoyo]],'LM SAP'!A:G,1,FALSE)),
        "No Disponible",
        IF(VLOOKUP(Tabla1313[[#This Row],[Apoyo]],'LM SAP'!A:AD,9,FALSE)="RR",
            "Disponible",
            "Firmas SAP"
        )
    ),
    "CONSULTAR"
)</f>
        <v>No Disponible</v>
      </c>
      <c r="Q125" s="65" t="str">
        <f>MID(Tabla1313[[#This Row],[Código Indra]],1,13)</f>
        <v>0973524300000</v>
      </c>
      <c r="R125" s="63" t="s">
        <v>255</v>
      </c>
      <c r="S125" s="90" t="str">
        <f>IF(ISNA(VLOOKUP(Tabla1313[[#This Row],[Código Indra]],#REF!,1,FALSE)),"NO", "SI")</f>
        <v>SI</v>
      </c>
      <c r="T125" s="91"/>
      <c r="U125" t="s">
        <v>260</v>
      </c>
      <c r="V125" t="e">
        <f>VLOOKUP(Tabla1313[[#This Row],[Apoyo]],'LM SAP'!A:I,9,FALSE)</f>
        <v>#N/A</v>
      </c>
      <c r="W125" t="e">
        <f>VLOOKUP(Tabla1313[[#This Row],[Código Indra]],#REF!,1,FALSE)</f>
        <v>#REF!</v>
      </c>
    </row>
    <row r="126" spans="1:23" x14ac:dyDescent="0.25">
      <c r="A126" s="64">
        <v>147</v>
      </c>
      <c r="B126" s="61" t="s">
        <v>152</v>
      </c>
      <c r="C126" s="76" t="s">
        <v>153</v>
      </c>
      <c r="D126" s="64"/>
      <c r="E126" s="76"/>
      <c r="F126" s="64">
        <v>1</v>
      </c>
      <c r="G126" s="61" t="s">
        <v>260</v>
      </c>
      <c r="H126" s="61" t="s">
        <v>261</v>
      </c>
      <c r="I126" s="64" t="s">
        <v>276</v>
      </c>
      <c r="J126" s="64" t="s">
        <v>474</v>
      </c>
      <c r="K126" s="213" t="s">
        <v>212</v>
      </c>
      <c r="L126" s="191"/>
      <c r="M126" s="192"/>
      <c r="N126" s="192"/>
      <c r="O126" s="247" t="s">
        <v>638</v>
      </c>
      <c r="P126" s="220" t="str">
        <f>IF(LEFT(B126,5)="09735",
    IF(ISNA(VLOOKUP(Tabla1313[[#This Row],[Apoyo]],'LM SAP'!A:G,1,FALSE)),
        "No Disponible",
        IF(VLOOKUP(Tabla1313[[#This Row],[Apoyo]],'LM SAP'!A:AD,9,FALSE)="RR",
            "Disponible",
            "Firmas SAP"
        )
    ),
    "CONSULTAR"
)</f>
        <v>No Disponible</v>
      </c>
      <c r="Q126" s="63" t="str">
        <f>MID(Tabla1313[[#This Row],[Código Indra]],1,13)</f>
        <v>0973524310000</v>
      </c>
      <c r="R126" s="63" t="s">
        <v>255</v>
      </c>
      <c r="S126" s="90" t="str">
        <f>IF(ISNA(VLOOKUP(Tabla1313[[#This Row],[Código Indra]],#REF!,1,FALSE)),"NO", "SI")</f>
        <v>SI</v>
      </c>
      <c r="T126" s="91"/>
      <c r="U126" t="s">
        <v>227</v>
      </c>
      <c r="V126" t="e">
        <f>VLOOKUP(Tabla1313[[#This Row],[Apoyo]],'LM SAP'!A:I,9,FALSE)</f>
        <v>#N/A</v>
      </c>
      <c r="W126" t="e">
        <f>VLOOKUP(Tabla1313[[#This Row],[Código Indra]],#REF!,1,FALSE)</f>
        <v>#REF!</v>
      </c>
    </row>
    <row r="127" spans="1:23" x14ac:dyDescent="0.25">
      <c r="A127" s="64">
        <v>148</v>
      </c>
      <c r="B127" s="64" t="s">
        <v>172</v>
      </c>
      <c r="C127" s="75" t="s">
        <v>173</v>
      </c>
      <c r="D127" s="64"/>
      <c r="E127" s="76"/>
      <c r="F127" s="64">
        <v>1</v>
      </c>
      <c r="G127" s="61" t="s">
        <v>260</v>
      </c>
      <c r="H127" s="61" t="s">
        <v>261</v>
      </c>
      <c r="I127" s="61" t="s">
        <v>251</v>
      </c>
      <c r="J127" s="64" t="s">
        <v>474</v>
      </c>
      <c r="K127" s="213" t="s">
        <v>213</v>
      </c>
      <c r="L127" s="191"/>
      <c r="M127" s="192"/>
      <c r="N127" s="192"/>
      <c r="O127" s="247" t="s">
        <v>638</v>
      </c>
      <c r="P127" s="220" t="str">
        <f>IF(LEFT(B127,5)="09735",
    IF(ISNA(VLOOKUP(Tabla1313[[#This Row],[Apoyo]],'LM SAP'!A:G,1,FALSE)),
        "No Disponible",
        IF(VLOOKUP(Tabla1313[[#This Row],[Apoyo]],'LM SAP'!A:AD,9,FALSE)="RR",
            "Disponible",
            "Firmas SAP"
        )
    ),
    "CONSULTAR"
)</f>
        <v>Disponible</v>
      </c>
      <c r="Q127" s="65" t="str">
        <f>MID(Tabla1313[[#This Row],[Código Indra]],1,13)</f>
        <v>0973524420000</v>
      </c>
      <c r="R127" s="63" t="s">
        <v>255</v>
      </c>
      <c r="S127" s="90" t="str">
        <f>IF(ISNA(VLOOKUP(Tabla1313[[#This Row],[Código Indra]],#REF!,1,FALSE)),"NO", "SI")</f>
        <v>SI</v>
      </c>
      <c r="T127" s="91"/>
      <c r="U127" t="s">
        <v>227</v>
      </c>
      <c r="V127" t="str">
        <f>VLOOKUP(Tabla1313[[#This Row],[Apoyo]],'LM SAP'!A:I,9,FALSE)</f>
        <v>RR</v>
      </c>
      <c r="W127" t="e">
        <f>VLOOKUP(Tabla1313[[#This Row],[Código Indra]],#REF!,1,FALSE)</f>
        <v>#REF!</v>
      </c>
    </row>
    <row r="128" spans="1:23" x14ac:dyDescent="0.25">
      <c r="A128" s="64">
        <v>150</v>
      </c>
      <c r="B128" s="61" t="s">
        <v>19</v>
      </c>
      <c r="C128" s="76" t="s">
        <v>20</v>
      </c>
      <c r="D128" s="64"/>
      <c r="E128" s="76"/>
      <c r="F128" s="64">
        <v>1</v>
      </c>
      <c r="G128" s="61" t="s">
        <v>234</v>
      </c>
      <c r="H128" s="64"/>
      <c r="I128" s="64" t="s">
        <v>276</v>
      </c>
      <c r="J128" s="64" t="s">
        <v>474</v>
      </c>
      <c r="K128" s="213" t="s">
        <v>213</v>
      </c>
      <c r="L128" s="191"/>
      <c r="M128" s="192"/>
      <c r="N128" s="192"/>
      <c r="O128" s="247" t="s">
        <v>638</v>
      </c>
      <c r="P128" s="220" t="str">
        <f>IF(LEFT(B128,5)="09735",
    IF(ISNA(VLOOKUP(Tabla1313[[#This Row],[Apoyo]],'LM SAP'!A:G,1,FALSE)),
        "No Disponible",
        IF(VLOOKUP(Tabla1313[[#This Row],[Apoyo]],'LM SAP'!A:AD,9,FALSE)="RR",
            "Disponible",
            "Firmas SAP"
        )
    ),
    "CONSULTAR"
)</f>
        <v>No Disponible</v>
      </c>
      <c r="Q128" s="63" t="str">
        <f>MID(Tabla1313[[#This Row],[Código Indra]],1,13)</f>
        <v>0973524430100</v>
      </c>
      <c r="R128" s="63" t="s">
        <v>255</v>
      </c>
      <c r="S128" s="90" t="str">
        <f>IF(ISNA(VLOOKUP(Tabla1313[[#This Row],[Código Indra]],#REF!,1,FALSE)),"NO", "SI")</f>
        <v>SI</v>
      </c>
      <c r="T128" s="91"/>
      <c r="U128" t="s">
        <v>227</v>
      </c>
      <c r="V128" t="e">
        <f>VLOOKUP(Tabla1313[[#This Row],[Apoyo]],'LM SAP'!A:I,9,FALSE)</f>
        <v>#N/A</v>
      </c>
      <c r="W128" t="e">
        <f>VLOOKUP(Tabla1313[[#This Row],[Código Indra]],#REF!,1,FALSE)</f>
        <v>#REF!</v>
      </c>
    </row>
    <row r="129" spans="1:23" ht="30" x14ac:dyDescent="0.25">
      <c r="A129" s="64">
        <v>151</v>
      </c>
      <c r="B129" s="64" t="s">
        <v>97</v>
      </c>
      <c r="C129" s="75" t="s">
        <v>652</v>
      </c>
      <c r="D129" s="64"/>
      <c r="E129" s="76"/>
      <c r="F129" s="64">
        <v>1</v>
      </c>
      <c r="G129" s="61" t="s">
        <v>234</v>
      </c>
      <c r="H129" s="64"/>
      <c r="I129" s="61" t="s">
        <v>653</v>
      </c>
      <c r="J129" s="64"/>
      <c r="K129" s="213" t="s">
        <v>213</v>
      </c>
      <c r="L129" s="191"/>
      <c r="M129" s="192"/>
      <c r="N129" s="192"/>
      <c r="O129" s="257" t="s">
        <v>499</v>
      </c>
      <c r="P129" s="220" t="str">
        <f>IF(LEFT(B129,5)="09735",
    IF(ISNA(VLOOKUP(Tabla1313[[#This Row],[Apoyo]],'LM SAP'!A:G,1,FALSE)),
        "No Disponible",
        IF(VLOOKUP(Tabla1313[[#This Row],[Apoyo]],'LM SAP'!A:AD,9,FALSE)="RR",
            "Disponible",
            "Firmas SAP"
        )
    ),
    "CONSULTAR"
)</f>
        <v>No Disponible</v>
      </c>
      <c r="Q129" s="63" t="str">
        <f>MID(Tabla1313[[#This Row],[Código Indra]],1,13)</f>
        <v>0973525020000</v>
      </c>
      <c r="R129" s="63" t="s">
        <v>255</v>
      </c>
      <c r="S129" s="90" t="str">
        <f>IF(ISNA(VLOOKUP(Tabla1313[[#This Row],[Código Indra]],#REF!,1,FALSE)),"NO", "SI")</f>
        <v>SI</v>
      </c>
      <c r="T129" s="91"/>
      <c r="U129" t="s">
        <v>255</v>
      </c>
      <c r="V129" t="e">
        <f>VLOOKUP(Tabla1313[[#This Row],[Apoyo]],'LM SAP'!A:I,9,FALSE)</f>
        <v>#N/A</v>
      </c>
      <c r="W129" t="e">
        <f>VLOOKUP(Tabla1313[[#This Row],[Código Indra]],#REF!,1,FALSE)</f>
        <v>#REF!</v>
      </c>
    </row>
    <row r="130" spans="1:23" x14ac:dyDescent="0.25">
      <c r="A130" s="64">
        <v>152</v>
      </c>
      <c r="B130" s="61" t="s">
        <v>189</v>
      </c>
      <c r="C130" s="76" t="s">
        <v>190</v>
      </c>
      <c r="D130" s="64"/>
      <c r="E130" s="76" t="s">
        <v>469</v>
      </c>
      <c r="F130" s="64">
        <v>1</v>
      </c>
      <c r="G130" s="61" t="s">
        <v>260</v>
      </c>
      <c r="H130" s="61" t="s">
        <v>261</v>
      </c>
      <c r="I130" s="64" t="s">
        <v>321</v>
      </c>
      <c r="J130" s="64"/>
      <c r="K130" s="213" t="s">
        <v>213</v>
      </c>
      <c r="L130" s="191"/>
      <c r="M130" s="192"/>
      <c r="N130" s="192"/>
      <c r="O130" s="247" t="s">
        <v>499</v>
      </c>
      <c r="P130" s="220" t="str">
        <f>IF(LEFT(B130,5)="09735",
    IF(ISNA(VLOOKUP(Tabla1313[[#This Row],[Apoyo]],'LM SAP'!A:G,1,FALSE)),
        "No Disponible",
        IF(VLOOKUP(Tabla1313[[#This Row],[Apoyo]],'LM SAP'!A:AD,9,FALSE)="RR",
            "Disponible",
            "Firmas SAP"
        )
    ),
    "CONSULTAR"
)</f>
        <v>Disponible</v>
      </c>
      <c r="Q130" s="63" t="str">
        <f>MID(Tabla1313[[#This Row],[Código Indra]],1,13)</f>
        <v>0973525180000</v>
      </c>
      <c r="R130" s="63" t="s">
        <v>255</v>
      </c>
      <c r="S130" s="90" t="str">
        <f>IF(ISNA(VLOOKUP(Tabla1313[[#This Row],[Código Indra]],#REF!,1,FALSE)),"NO", "SI")</f>
        <v>SI</v>
      </c>
      <c r="T130" s="91"/>
      <c r="U130" t="s">
        <v>260</v>
      </c>
      <c r="V130" t="str">
        <f>VLOOKUP(Tabla1313[[#This Row],[Apoyo]],'LM SAP'!A:I,9,FALSE)</f>
        <v>RR</v>
      </c>
      <c r="W130" t="e">
        <f>VLOOKUP(Tabla1313[[#This Row],[Código Indra]],#REF!,1,FALSE)</f>
        <v>#REF!</v>
      </c>
    </row>
    <row r="131" spans="1:23" ht="108" x14ac:dyDescent="0.25">
      <c r="A131" s="64">
        <v>153</v>
      </c>
      <c r="B131" s="64" t="s">
        <v>25</v>
      </c>
      <c r="C131" s="75" t="s">
        <v>654</v>
      </c>
      <c r="D131" s="64"/>
      <c r="E131" s="75" t="s">
        <v>655</v>
      </c>
      <c r="F131" s="64">
        <v>1</v>
      </c>
      <c r="G131" s="61" t="s">
        <v>234</v>
      </c>
      <c r="H131" s="64"/>
      <c r="I131" s="61" t="s">
        <v>321</v>
      </c>
      <c r="J131" s="64"/>
      <c r="K131" s="213" t="s">
        <v>215</v>
      </c>
      <c r="L131" s="222">
        <v>60005308</v>
      </c>
      <c r="M131" s="223">
        <v>45634</v>
      </c>
      <c r="N131" s="223"/>
      <c r="O131" s="241" t="s">
        <v>656</v>
      </c>
      <c r="P131" s="220" t="str">
        <f>IF(LEFT(B131,5)="09735",
    IF(ISNA(VLOOKUP(Tabla1313[[#This Row],[Apoyo]],'LM SAP'!A:G,1,FALSE)),
        "No Disponible",
        IF(VLOOKUP(Tabla1313[[#This Row],[Apoyo]],'LM SAP'!A:AD,9,FALSE)="RR",
            "Disponible",
            "Firmas SAP"
        )
    ),
    "CONSULTAR"
)</f>
        <v>No Disponible</v>
      </c>
      <c r="Q131" s="65" t="str">
        <f>MID(Tabla1313[[#This Row],[Código Indra]],1,13)</f>
        <v>0973525190000</v>
      </c>
      <c r="R131" s="63" t="s">
        <v>255</v>
      </c>
      <c r="S131" s="90" t="str">
        <f>IF(ISNA(VLOOKUP(Tabla1313[[#This Row],[Código Indra]],#REF!,1,FALSE)),"NO", "SI")</f>
        <v>SI</v>
      </c>
      <c r="T131" s="91"/>
      <c r="U131" t="s">
        <v>255</v>
      </c>
      <c r="V131" t="e">
        <f>VLOOKUP(Tabla1313[[#This Row],[Apoyo]],'LM SAP'!A:I,9,FALSE)</f>
        <v>#N/A</v>
      </c>
      <c r="W131" t="e">
        <f>VLOOKUP(Tabla1313[[#This Row],[Código Indra]],#REF!,1,FALSE)</f>
        <v>#REF!</v>
      </c>
    </row>
    <row r="132" spans="1:23" ht="108" x14ac:dyDescent="0.25">
      <c r="A132" s="64">
        <v>154</v>
      </c>
      <c r="B132" s="61" t="s">
        <v>30</v>
      </c>
      <c r="C132" s="76" t="s">
        <v>657</v>
      </c>
      <c r="D132" s="64"/>
      <c r="E132" s="76" t="s">
        <v>658</v>
      </c>
      <c r="F132" s="64">
        <v>1</v>
      </c>
      <c r="G132" s="61" t="s">
        <v>234</v>
      </c>
      <c r="H132" s="64"/>
      <c r="I132" s="64" t="s">
        <v>321</v>
      </c>
      <c r="J132" s="64"/>
      <c r="K132" s="213" t="s">
        <v>215</v>
      </c>
      <c r="L132" s="222">
        <v>60005309</v>
      </c>
      <c r="M132" s="223">
        <v>45634</v>
      </c>
      <c r="N132" s="223"/>
      <c r="O132" s="241" t="s">
        <v>656</v>
      </c>
      <c r="P132" s="220" t="str">
        <f>IF(LEFT(B132,5)="09735",
    IF(ISNA(VLOOKUP(Tabla1313[[#This Row],[Apoyo]],'LM SAP'!A:G,1,FALSE)),
        "No Disponible",
        IF(VLOOKUP(Tabla1313[[#This Row],[Apoyo]],'LM SAP'!A:AD,9,FALSE)="RR",
            "Disponible",
            "Firmas SAP"
        )
    ),
    "CONSULTAR"
)</f>
        <v>No Disponible</v>
      </c>
      <c r="Q132" s="63" t="str">
        <f>MID(Tabla1313[[#This Row],[Código Indra]],1,13)</f>
        <v>0973525200000</v>
      </c>
      <c r="R132" s="63" t="s">
        <v>255</v>
      </c>
      <c r="S132" s="90" t="str">
        <f>IF(ISNA(VLOOKUP(Tabla1313[[#This Row],[Código Indra]],#REF!,1,FALSE)),"NO", "SI")</f>
        <v>SI</v>
      </c>
      <c r="T132" s="91"/>
      <c r="U132" t="s">
        <v>255</v>
      </c>
      <c r="V132" t="e">
        <f>VLOOKUP(Tabla1313[[#This Row],[Apoyo]],'LM SAP'!A:I,9,FALSE)</f>
        <v>#N/A</v>
      </c>
      <c r="W132" t="e">
        <f>VLOOKUP(Tabla1313[[#This Row],[Código Indra]],#REF!,1,FALSE)</f>
        <v>#REF!</v>
      </c>
    </row>
    <row r="133" spans="1:23" ht="45" x14ac:dyDescent="0.25">
      <c r="A133" s="64">
        <v>156</v>
      </c>
      <c r="B133" s="64" t="s">
        <v>35</v>
      </c>
      <c r="C133" s="75" t="s">
        <v>659</v>
      </c>
      <c r="D133" s="64"/>
      <c r="E133" s="75" t="s">
        <v>660</v>
      </c>
      <c r="F133" s="64">
        <v>1</v>
      </c>
      <c r="G133" s="61" t="s">
        <v>260</v>
      </c>
      <c r="H133" s="61" t="s">
        <v>261</v>
      </c>
      <c r="I133" s="61" t="s">
        <v>321</v>
      </c>
      <c r="J133" s="64"/>
      <c r="K133" s="213" t="s">
        <v>215</v>
      </c>
      <c r="L133" s="222">
        <v>60005310</v>
      </c>
      <c r="M133" s="223"/>
      <c r="N133" s="223"/>
      <c r="O133" s="241" t="s">
        <v>661</v>
      </c>
      <c r="P133" s="220" t="str">
        <f>IF(LEFT(B133,5)="09735",
    IF(ISNA(VLOOKUP(Tabla1313[[#This Row],[Apoyo]],'LM SAP'!A:G,1,FALSE)),
        "No Disponible",
        IF(VLOOKUP(Tabla1313[[#This Row],[Apoyo]],'LM SAP'!A:AD,9,FALSE)="RR",
            "Disponible",
            "Firmas SAP"
        )
    ),
    "CONSULTAR"
)</f>
        <v>Disponible</v>
      </c>
      <c r="Q133" s="63" t="str">
        <f>MID(Tabla1313[[#This Row],[Código Indra]],1,13)</f>
        <v>0973525210000</v>
      </c>
      <c r="R133" s="63" t="s">
        <v>255</v>
      </c>
      <c r="S133" s="90" t="str">
        <f>IF(ISNA(VLOOKUP(Tabla1313[[#This Row],[Código Indra]],#REF!,1,FALSE)),"NO", "SI")</f>
        <v>SI</v>
      </c>
      <c r="T133" s="91"/>
      <c r="U133" t="s">
        <v>260</v>
      </c>
      <c r="V133" t="str">
        <f>VLOOKUP(Tabla1313[[#This Row],[Apoyo]],'LM SAP'!A:I,9,FALSE)</f>
        <v>RR</v>
      </c>
      <c r="W133" t="e">
        <f>VLOOKUP(Tabla1313[[#This Row],[Código Indra]],#REF!,1,FALSE)</f>
        <v>#REF!</v>
      </c>
    </row>
    <row r="134" spans="1:23" ht="45" x14ac:dyDescent="0.25">
      <c r="A134" s="64">
        <v>157</v>
      </c>
      <c r="B134" s="61" t="s">
        <v>40</v>
      </c>
      <c r="C134" s="76" t="s">
        <v>662</v>
      </c>
      <c r="D134" s="64"/>
      <c r="E134" s="76" t="s">
        <v>663</v>
      </c>
      <c r="F134" s="64">
        <v>1</v>
      </c>
      <c r="G134" s="61" t="s">
        <v>234</v>
      </c>
      <c r="H134" s="64"/>
      <c r="I134" s="64" t="s">
        <v>321</v>
      </c>
      <c r="J134" s="64"/>
      <c r="K134" s="213" t="s">
        <v>215</v>
      </c>
      <c r="L134" s="222">
        <v>60005306</v>
      </c>
      <c r="M134" s="223">
        <v>45634</v>
      </c>
      <c r="N134" s="192"/>
      <c r="O134" s="241" t="s">
        <v>661</v>
      </c>
      <c r="P134" s="220" t="str">
        <f>IF(LEFT(B134,5)="09735",
    IF(ISNA(VLOOKUP(Tabla1313[[#This Row],[Apoyo]],'LM SAP'!A:G,1,FALSE)),
        "No Disponible",
        IF(VLOOKUP(Tabla1313[[#This Row],[Apoyo]],'LM SAP'!A:AD,9,FALSE)="RR",
            "Disponible",
            "Firmas SAP"
        )
    ),
    "CONSULTAR"
)</f>
        <v>No Disponible</v>
      </c>
      <c r="Q134" s="63" t="str">
        <f>MID(Tabla1313[[#This Row],[Código Indra]],1,13)</f>
        <v>0973525220000</v>
      </c>
      <c r="R134" s="63" t="s">
        <v>255</v>
      </c>
      <c r="S134" s="90" t="str">
        <f>IF(ISNA(VLOOKUP(Tabla1313[[#This Row],[Código Indra]],#REF!,1,FALSE)),"NO", "SI")</f>
        <v>SI</v>
      </c>
      <c r="T134" s="91"/>
      <c r="U134" t="s">
        <v>255</v>
      </c>
      <c r="V134" t="e">
        <f>VLOOKUP(Tabla1313[[#This Row],[Apoyo]],'LM SAP'!A:I,9,FALSE)</f>
        <v>#N/A</v>
      </c>
      <c r="W134" t="e">
        <f>VLOOKUP(Tabla1313[[#This Row],[Código Indra]],#REF!,1,FALSE)</f>
        <v>#REF!</v>
      </c>
    </row>
    <row r="135" spans="1:23" x14ac:dyDescent="0.25">
      <c r="A135" s="64">
        <v>158</v>
      </c>
      <c r="B135" s="64" t="s">
        <v>664</v>
      </c>
      <c r="C135" s="75" t="s">
        <v>665</v>
      </c>
      <c r="D135" s="64"/>
      <c r="E135" s="75" t="s">
        <v>469</v>
      </c>
      <c r="F135" s="64">
        <v>1</v>
      </c>
      <c r="G135" s="61" t="s">
        <v>234</v>
      </c>
      <c r="H135" s="64"/>
      <c r="I135" s="61" t="s">
        <v>666</v>
      </c>
      <c r="J135" s="64"/>
      <c r="K135" s="213" t="s">
        <v>213</v>
      </c>
      <c r="L135" s="191"/>
      <c r="M135" s="192"/>
      <c r="N135" s="192"/>
      <c r="O135" s="247" t="s">
        <v>638</v>
      </c>
      <c r="P135" s="220" t="str">
        <f>IF(LEFT(B135,5)="09735",
    IF(ISNA(VLOOKUP(Tabla1313[[#This Row],[Apoyo]],'LM SAP'!A:G,1,FALSE)),
        "No Disponible",
        IF(VLOOKUP(Tabla1313[[#This Row],[Apoyo]],'LM SAP'!A:AD,9,FALSE)="RR",
            "Disponible",
            "Firmas SAP"
        )
    ),
    "CONSULTAR"
)</f>
        <v>Disponible</v>
      </c>
      <c r="Q135" s="63" t="str">
        <f>MID(Tabla1313[[#This Row],[Código Indra]],1,13)</f>
        <v>0973525220400</v>
      </c>
      <c r="R135" s="63" t="s">
        <v>255</v>
      </c>
      <c r="S135" s="90" t="str">
        <f>IF(ISNA(VLOOKUP(Tabla1313[[#This Row],[Código Indra]],#REF!,1,FALSE)),"NO", "SI")</f>
        <v>SI</v>
      </c>
      <c r="T135" s="91"/>
      <c r="U135" t="s">
        <v>255</v>
      </c>
      <c r="V135" t="str">
        <f>VLOOKUP(Tabla1313[[#This Row],[Apoyo]],'LM SAP'!A:I,9,FALSE)</f>
        <v>RR</v>
      </c>
      <c r="W135" t="e">
        <f>VLOOKUP(Tabla1313[[#This Row],[Código Indra]],#REF!,1,FALSE)</f>
        <v>#REF!</v>
      </c>
    </row>
    <row r="136" spans="1:23" ht="30" x14ac:dyDescent="0.25">
      <c r="A136" s="64">
        <v>160</v>
      </c>
      <c r="B136" s="64" t="s">
        <v>181</v>
      </c>
      <c r="C136" s="75" t="s">
        <v>182</v>
      </c>
      <c r="D136" s="64"/>
      <c r="E136" s="75" t="s">
        <v>667</v>
      </c>
      <c r="F136" s="64">
        <v>1</v>
      </c>
      <c r="G136" s="61" t="s">
        <v>260</v>
      </c>
      <c r="H136" s="61" t="s">
        <v>261</v>
      </c>
      <c r="I136" s="61" t="s">
        <v>276</v>
      </c>
      <c r="J136" s="64"/>
      <c r="K136" s="213" t="s">
        <v>212</v>
      </c>
      <c r="L136" s="191"/>
      <c r="M136" s="192"/>
      <c r="N136" s="192"/>
      <c r="O136" s="247" t="s">
        <v>638</v>
      </c>
      <c r="P136" s="220" t="str">
        <f>IF(LEFT(B136,5)="09735",
    IF(ISNA(VLOOKUP(Tabla1313[[#This Row],[Apoyo]],'LM SAP'!A:G,1,FALSE)),
        "No Disponible",
        IF(VLOOKUP(Tabla1313[[#This Row],[Apoyo]],'LM SAP'!A:AD,9,FALSE)="RR",
            "Disponible",
            "Firmas SAP"
        )
    ),
    "CONSULTAR"
)</f>
        <v>No Disponible</v>
      </c>
      <c r="Q136" s="63" t="str">
        <f>MID(Tabla1313[[#This Row],[Código Indra]],1,13)</f>
        <v>0973525240000</v>
      </c>
      <c r="R136" s="63" t="s">
        <v>255</v>
      </c>
      <c r="S136" s="90" t="str">
        <f>IF(ISNA(VLOOKUP(Tabla1313[[#This Row],[Código Indra]],#REF!,1,FALSE)),"NO", "SI")</f>
        <v>SI</v>
      </c>
      <c r="T136" s="91"/>
      <c r="U136" t="s">
        <v>260</v>
      </c>
      <c r="V136" t="e">
        <f>VLOOKUP(Tabla1313[[#This Row],[Apoyo]],'LM SAP'!A:I,9,FALSE)</f>
        <v>#N/A</v>
      </c>
      <c r="W136" t="e">
        <f>VLOOKUP(Tabla1313[[#This Row],[Código Indra]],#REF!,1,FALSE)</f>
        <v>#REF!</v>
      </c>
    </row>
    <row r="137" spans="1:23" x14ac:dyDescent="0.25">
      <c r="A137" s="64">
        <v>161</v>
      </c>
      <c r="B137" s="61" t="s">
        <v>184</v>
      </c>
      <c r="C137" s="76" t="s">
        <v>185</v>
      </c>
      <c r="D137" s="64"/>
      <c r="E137" s="76" t="s">
        <v>469</v>
      </c>
      <c r="F137" s="64">
        <v>1</v>
      </c>
      <c r="G137" s="61" t="s">
        <v>260</v>
      </c>
      <c r="H137" s="61" t="s">
        <v>261</v>
      </c>
      <c r="I137" s="64" t="s">
        <v>276</v>
      </c>
      <c r="J137" s="64"/>
      <c r="K137" s="213" t="s">
        <v>213</v>
      </c>
      <c r="L137" s="191"/>
      <c r="M137" s="192"/>
      <c r="N137" s="192"/>
      <c r="O137" s="247" t="s">
        <v>638</v>
      </c>
      <c r="P137" s="220" t="str">
        <f>IF(LEFT(B137,5)="09735",
    IF(ISNA(VLOOKUP(Tabla1313[[#This Row],[Apoyo]],'LM SAP'!A:G,1,FALSE)),
        "No Disponible",
        IF(VLOOKUP(Tabla1313[[#This Row],[Apoyo]],'LM SAP'!A:AD,9,FALSE)="RR",
            "Disponible",
            "Firmas SAP"
        )
    ),
    "CONSULTAR"
)</f>
        <v>No Disponible</v>
      </c>
      <c r="Q137" s="63" t="str">
        <f>MID(Tabla1313[[#This Row],[Código Indra]],1,13)</f>
        <v>0973525270800</v>
      </c>
      <c r="R137" s="63" t="s">
        <v>255</v>
      </c>
      <c r="S137" s="90" t="str">
        <f>IF(ISNA(VLOOKUP(Tabla1313[[#This Row],[Código Indra]],#REF!,1,FALSE)),"NO", "SI")</f>
        <v>SI</v>
      </c>
      <c r="T137" s="91"/>
      <c r="U137" t="s">
        <v>260</v>
      </c>
      <c r="V137" t="e">
        <f>VLOOKUP(Tabla1313[[#This Row],[Apoyo]],'LM SAP'!A:I,9,FALSE)</f>
        <v>#N/A</v>
      </c>
      <c r="W137" t="e">
        <f>VLOOKUP(Tabla1313[[#This Row],[Código Indra]],#REF!,1,FALSE)</f>
        <v>#REF!</v>
      </c>
    </row>
    <row r="138" spans="1:23" x14ac:dyDescent="0.25">
      <c r="A138" s="64">
        <v>162</v>
      </c>
      <c r="B138" s="64" t="s">
        <v>192</v>
      </c>
      <c r="C138" s="75" t="s">
        <v>668</v>
      </c>
      <c r="D138" s="64"/>
      <c r="E138" s="76"/>
      <c r="F138" s="64">
        <v>1</v>
      </c>
      <c r="G138" s="61" t="s">
        <v>260</v>
      </c>
      <c r="H138" s="61" t="s">
        <v>261</v>
      </c>
      <c r="I138" s="61" t="s">
        <v>669</v>
      </c>
      <c r="J138" s="64"/>
      <c r="K138" s="213" t="s">
        <v>213</v>
      </c>
      <c r="L138" s="191"/>
      <c r="M138" s="192"/>
      <c r="N138" s="192"/>
      <c r="O138" s="247" t="s">
        <v>638</v>
      </c>
      <c r="P138" s="220" t="str">
        <f>IF(LEFT(B138,5)="09735",
    IF(ISNA(VLOOKUP(Tabla1313[[#This Row],[Apoyo]],'LM SAP'!A:G,1,FALSE)),
        "No Disponible",
        IF(VLOOKUP(Tabla1313[[#This Row],[Apoyo]],'LM SAP'!A:AD,9,FALSE)="RR",
            "Disponible",
            "Firmas SAP"
        )
    ),
    "CONSULTAR"
)</f>
        <v>No Disponible</v>
      </c>
      <c r="Q138" s="63" t="str">
        <f>MID(Tabla1313[[#This Row],[Código Indra]],1,13)</f>
        <v>0973525290000</v>
      </c>
      <c r="R138" s="63" t="s">
        <v>255</v>
      </c>
      <c r="S138" s="90" t="str">
        <f>IF(ISNA(VLOOKUP(Tabla1313[[#This Row],[Código Indra]],#REF!,1,FALSE)),"NO", "SI")</f>
        <v>SI</v>
      </c>
      <c r="T138" s="91"/>
      <c r="U138" t="s">
        <v>260</v>
      </c>
      <c r="V138" t="e">
        <f>VLOOKUP(Tabla1313[[#This Row],[Apoyo]],'LM SAP'!A:I,9,FALSE)</f>
        <v>#N/A</v>
      </c>
      <c r="W138" t="e">
        <f>VLOOKUP(Tabla1313[[#This Row],[Código Indra]],#REF!,1,FALSE)</f>
        <v>#REF!</v>
      </c>
    </row>
    <row r="139" spans="1:23" ht="45" x14ac:dyDescent="0.25">
      <c r="A139" s="64">
        <v>163</v>
      </c>
      <c r="B139" s="61" t="s">
        <v>49</v>
      </c>
      <c r="C139" s="76" t="s">
        <v>670</v>
      </c>
      <c r="D139" s="64"/>
      <c r="E139" s="76" t="s">
        <v>671</v>
      </c>
      <c r="F139" s="64">
        <v>1</v>
      </c>
      <c r="G139" s="61" t="s">
        <v>260</v>
      </c>
      <c r="H139" s="61" t="s">
        <v>261</v>
      </c>
      <c r="I139" s="64" t="s">
        <v>321</v>
      </c>
      <c r="J139" s="64"/>
      <c r="K139" s="213" t="s">
        <v>212</v>
      </c>
      <c r="L139" s="191"/>
      <c r="M139" s="192"/>
      <c r="N139" s="192"/>
      <c r="O139" s="247" t="s">
        <v>638</v>
      </c>
      <c r="P139" s="220" t="str">
        <f>IF(LEFT(B139,5)="09735",
    IF(ISNA(VLOOKUP(Tabla1313[[#This Row],[Apoyo]],'LM SAP'!A:G,1,FALSE)),
        "No Disponible",
        IF(VLOOKUP(Tabla1313[[#This Row],[Apoyo]],'LM SAP'!A:AD,9,FALSE)="RR",
            "Disponible",
            "Firmas SAP"
        )
    ),
    "CONSULTAR"
)</f>
        <v>No Disponible</v>
      </c>
      <c r="Q139" s="63" t="str">
        <f>MID(Tabla1313[[#This Row],[Código Indra]],1,13)</f>
        <v>0973525300000</v>
      </c>
      <c r="R139" s="63" t="s">
        <v>255</v>
      </c>
      <c r="S139" s="90" t="str">
        <f>IF(ISNA(VLOOKUP(Tabla1313[[#This Row],[Código Indra]],#REF!,1,FALSE)),"NO", "SI")</f>
        <v>SI</v>
      </c>
      <c r="T139" s="91"/>
      <c r="U139" t="s">
        <v>260</v>
      </c>
      <c r="V139" t="e">
        <f>VLOOKUP(Tabla1313[[#This Row],[Apoyo]],'LM SAP'!A:I,9,FALSE)</f>
        <v>#N/A</v>
      </c>
      <c r="W139" t="e">
        <f>VLOOKUP(Tabla1313[[#This Row],[Código Indra]],#REF!,1,FALSE)</f>
        <v>#REF!</v>
      </c>
    </row>
    <row r="140" spans="1:23" ht="45" x14ac:dyDescent="0.25">
      <c r="A140" s="64">
        <v>164</v>
      </c>
      <c r="B140" s="64" t="s">
        <v>45</v>
      </c>
      <c r="C140" s="75" t="s">
        <v>672</v>
      </c>
      <c r="D140" s="64"/>
      <c r="E140" s="75" t="s">
        <v>673</v>
      </c>
      <c r="F140" s="64">
        <v>1</v>
      </c>
      <c r="G140" s="61" t="s">
        <v>234</v>
      </c>
      <c r="H140" s="64"/>
      <c r="I140" s="61" t="s">
        <v>321</v>
      </c>
      <c r="J140" s="64" t="s">
        <v>474</v>
      </c>
      <c r="K140" s="213" t="s">
        <v>215</v>
      </c>
      <c r="L140" s="199">
        <v>60005307</v>
      </c>
      <c r="M140" s="192">
        <v>45634</v>
      </c>
      <c r="N140" s="192"/>
      <c r="O140" s="247"/>
      <c r="P140" s="220" t="str">
        <f>IF(LEFT(B140,5)="09735",
    IF(ISNA(VLOOKUP(Tabla1313[[#This Row],[Apoyo]],'LM SAP'!A:G,1,FALSE)),
        "No Disponible",
        IF(VLOOKUP(Tabla1313[[#This Row],[Apoyo]],'LM SAP'!A:AD,9,FALSE)="RR",
            "Disponible",
            "Firmas SAP"
        )
    ),
    "CONSULTAR"
)</f>
        <v>No Disponible</v>
      </c>
      <c r="Q140" s="63" t="str">
        <f>MID(Tabla1313[[#This Row],[Código Indra]],1,13)</f>
        <v>0973525300500</v>
      </c>
      <c r="R140" s="63" t="s">
        <v>255</v>
      </c>
      <c r="S140" s="90" t="str">
        <f>IF(ISNA(VLOOKUP(Tabla1313[[#This Row],[Código Indra]],#REF!,1,FALSE)),"NO", "SI")</f>
        <v>SI</v>
      </c>
      <c r="T140" s="91"/>
      <c r="U140" t="s">
        <v>255</v>
      </c>
      <c r="V140" t="e">
        <f>VLOOKUP(Tabla1313[[#This Row],[Apoyo]],'LM SAP'!A:I,9,FALSE)</f>
        <v>#N/A</v>
      </c>
      <c r="W140" t="e">
        <f>VLOOKUP(Tabla1313[[#This Row],[Código Indra]],#REF!,1,FALSE)</f>
        <v>#REF!</v>
      </c>
    </row>
    <row r="141" spans="1:23" x14ac:dyDescent="0.25">
      <c r="A141" s="64">
        <v>165</v>
      </c>
      <c r="B141" s="61" t="s">
        <v>115</v>
      </c>
      <c r="C141" s="76" t="s">
        <v>674</v>
      </c>
      <c r="D141" s="64"/>
      <c r="E141" s="76" t="s">
        <v>469</v>
      </c>
      <c r="F141" s="64">
        <v>1</v>
      </c>
      <c r="G141" s="61" t="s">
        <v>260</v>
      </c>
      <c r="H141" s="61" t="s">
        <v>261</v>
      </c>
      <c r="I141" s="64" t="s">
        <v>276</v>
      </c>
      <c r="J141" s="64"/>
      <c r="K141" s="213" t="s">
        <v>212</v>
      </c>
      <c r="L141" s="191"/>
      <c r="M141" s="192"/>
      <c r="N141" s="192"/>
      <c r="O141" s="247" t="s">
        <v>638</v>
      </c>
      <c r="P141" s="220" t="str">
        <f>IF(LEFT(B141,5)="09735",
    IF(ISNA(VLOOKUP(Tabla1313[[#This Row],[Apoyo]],'LM SAP'!A:G,1,FALSE)),
        "No Disponible",
        IF(VLOOKUP(Tabla1313[[#This Row],[Apoyo]],'LM SAP'!A:AD,9,FALSE)="RR",
            "Disponible",
            "Firmas SAP"
        )
    ),
    "CONSULTAR"
)</f>
        <v>No Disponible</v>
      </c>
      <c r="Q141" s="63" t="str">
        <f>MID(Tabla1313[[#This Row],[Código Indra]],1,13)</f>
        <v>0973525310000</v>
      </c>
      <c r="R141" s="63" t="s">
        <v>255</v>
      </c>
      <c r="S141" s="90" t="str">
        <f>IF(ISNA(VLOOKUP(Tabla1313[[#This Row],[Código Indra]],#REF!,1,FALSE)),"NO", "SI")</f>
        <v>SI</v>
      </c>
      <c r="T141" s="91"/>
      <c r="U141" t="s">
        <v>260</v>
      </c>
      <c r="V141" t="e">
        <f>VLOOKUP(Tabla1313[[#This Row],[Apoyo]],'LM SAP'!A:I,9,FALSE)</f>
        <v>#N/A</v>
      </c>
      <c r="W141" t="e">
        <f>VLOOKUP(Tabla1313[[#This Row],[Código Indra]],#REF!,1,FALSE)</f>
        <v>#REF!</v>
      </c>
    </row>
    <row r="142" spans="1:23" x14ac:dyDescent="0.25">
      <c r="A142" s="64">
        <v>166</v>
      </c>
      <c r="B142" s="64" t="s">
        <v>111</v>
      </c>
      <c r="C142" s="75" t="s">
        <v>675</v>
      </c>
      <c r="D142" s="64"/>
      <c r="E142" s="75" t="s">
        <v>469</v>
      </c>
      <c r="F142" s="64">
        <v>1</v>
      </c>
      <c r="G142" s="61" t="s">
        <v>260</v>
      </c>
      <c r="H142" s="61" t="s">
        <v>261</v>
      </c>
      <c r="I142" s="61" t="s">
        <v>560</v>
      </c>
      <c r="J142" s="64"/>
      <c r="K142" s="213" t="s">
        <v>213</v>
      </c>
      <c r="L142" s="191"/>
      <c r="M142" s="192"/>
      <c r="N142" s="192"/>
      <c r="O142" s="247" t="s">
        <v>499</v>
      </c>
      <c r="P142" s="220" t="str">
        <f>IF(LEFT(B142,5)="09735",
    IF(ISNA(VLOOKUP(Tabla1313[[#This Row],[Apoyo]],'LM SAP'!A:G,1,FALSE)),
        "No Disponible",
        IF(VLOOKUP(Tabla1313[[#This Row],[Apoyo]],'LM SAP'!A:AD,9,FALSE)="RR",
            "Disponible",
            "Firmas SAP"
        )
    ),
    "CONSULTAR"
)</f>
        <v>No Disponible</v>
      </c>
      <c r="Q142" s="63" t="str">
        <f>MID(Tabla1313[[#This Row],[Código Indra]],1,13)</f>
        <v>0973525320000</v>
      </c>
      <c r="R142" s="63" t="s">
        <v>255</v>
      </c>
      <c r="S142" s="90" t="str">
        <f>IF(ISNA(VLOOKUP(Tabla1313[[#This Row],[Código Indra]],#REF!,1,FALSE)),"NO", "SI")</f>
        <v>SI</v>
      </c>
      <c r="T142" s="91"/>
      <c r="U142" t="s">
        <v>260</v>
      </c>
      <c r="V142" t="e">
        <f>VLOOKUP(Tabla1313[[#This Row],[Apoyo]],'LM SAP'!A:I,9,FALSE)</f>
        <v>#N/A</v>
      </c>
      <c r="W142" t="e">
        <f>VLOOKUP(Tabla1313[[#This Row],[Código Indra]],#REF!,1,FALSE)</f>
        <v>#REF!</v>
      </c>
    </row>
    <row r="143" spans="1:23" x14ac:dyDescent="0.25">
      <c r="A143" s="64">
        <v>167</v>
      </c>
      <c r="B143" s="61" t="s">
        <v>111</v>
      </c>
      <c r="C143" s="76" t="s">
        <v>676</v>
      </c>
      <c r="D143" s="64"/>
      <c r="E143" s="76"/>
      <c r="F143" s="64">
        <v>1</v>
      </c>
      <c r="G143" s="61" t="s">
        <v>260</v>
      </c>
      <c r="H143" s="61" t="s">
        <v>261</v>
      </c>
      <c r="I143" s="64" t="s">
        <v>560</v>
      </c>
      <c r="J143" s="64"/>
      <c r="K143" s="213" t="s">
        <v>213</v>
      </c>
      <c r="L143" s="191"/>
      <c r="M143" s="192"/>
      <c r="N143" s="192"/>
      <c r="O143" s="247" t="s">
        <v>499</v>
      </c>
      <c r="P143" s="220" t="str">
        <f>IF(LEFT(B143,5)="09735",
    IF(ISNA(VLOOKUP(Tabla1313[[#This Row],[Apoyo]],'LM SAP'!A:G,1,FALSE)),
        "No Disponible",
        IF(VLOOKUP(Tabla1313[[#This Row],[Apoyo]],'LM SAP'!A:AD,9,FALSE)="RR",
            "Disponible",
            "Firmas SAP"
        )
    ),
    "CONSULTAR"
)</f>
        <v>No Disponible</v>
      </c>
      <c r="Q143" s="63" t="str">
        <f>MID(Tabla1313[[#This Row],[Código Indra]],1,13)</f>
        <v>0973525320000</v>
      </c>
      <c r="R143" s="63" t="s">
        <v>255</v>
      </c>
      <c r="S143" s="90" t="str">
        <f>IF(ISNA(VLOOKUP(Tabla1313[[#This Row],[Código Indra]],#REF!,1,FALSE)),"NO", "SI")</f>
        <v>SI</v>
      </c>
      <c r="T143" s="91"/>
      <c r="U143" t="s">
        <v>260</v>
      </c>
      <c r="V143" t="e">
        <f>VLOOKUP(Tabla1313[[#This Row],[Apoyo]],'LM SAP'!A:I,9,FALSE)</f>
        <v>#N/A</v>
      </c>
      <c r="W143" t="e">
        <f>VLOOKUP(Tabla1313[[#This Row],[Código Indra]],#REF!,1,FALSE)</f>
        <v>#REF!</v>
      </c>
    </row>
    <row r="144" spans="1:23" x14ac:dyDescent="0.25">
      <c r="A144" s="64">
        <v>168</v>
      </c>
      <c r="B144" s="64" t="s">
        <v>105</v>
      </c>
      <c r="C144" s="75" t="s">
        <v>106</v>
      </c>
      <c r="D144" s="64"/>
      <c r="E144" s="76"/>
      <c r="F144" s="64">
        <v>1</v>
      </c>
      <c r="G144" s="61" t="s">
        <v>260</v>
      </c>
      <c r="H144" s="61" t="s">
        <v>261</v>
      </c>
      <c r="I144" s="61" t="s">
        <v>650</v>
      </c>
      <c r="J144" s="64" t="s">
        <v>474</v>
      </c>
      <c r="K144" s="213" t="s">
        <v>215</v>
      </c>
      <c r="L144" s="191">
        <v>60005318</v>
      </c>
      <c r="M144" s="192">
        <v>45637</v>
      </c>
      <c r="N144" s="192"/>
      <c r="O144" s="247"/>
      <c r="P144" s="220" t="str">
        <f>IF(LEFT(B144,5)="09735",
    IF(ISNA(VLOOKUP(Tabla1313[[#This Row],[Apoyo]],'LM SAP'!A:G,1,FALSE)),
        "No Disponible",
        IF(VLOOKUP(Tabla1313[[#This Row],[Apoyo]],'LM SAP'!A:AD,9,FALSE)="RR",
            "Disponible",
            "Firmas SAP"
        )
    ),
    "CONSULTAR"
)</f>
        <v>No Disponible</v>
      </c>
      <c r="Q144" s="63" t="str">
        <f>MID(Tabla1313[[#This Row],[Código Indra]],1,13)</f>
        <v>0973525411000</v>
      </c>
      <c r="R144" s="63" t="s">
        <v>255</v>
      </c>
      <c r="S144" s="90" t="str">
        <f>IF(ISNA(VLOOKUP(Tabla1313[[#This Row],[Código Indra]],#REF!,1,FALSE)),"NO", "SI")</f>
        <v>SI</v>
      </c>
      <c r="T144" s="91"/>
      <c r="U144" t="s">
        <v>227</v>
      </c>
      <c r="V144" t="e">
        <f>VLOOKUP(Tabla1313[[#This Row],[Apoyo]],'LM SAP'!A:I,9,FALSE)</f>
        <v>#N/A</v>
      </c>
      <c r="W144" t="e">
        <f>VLOOKUP(Tabla1313[[#This Row],[Código Indra]],#REF!,1,FALSE)</f>
        <v>#REF!</v>
      </c>
    </row>
    <row r="145" spans="1:23" ht="30" x14ac:dyDescent="0.25">
      <c r="A145" s="64">
        <v>169</v>
      </c>
      <c r="B145" s="61" t="s">
        <v>169</v>
      </c>
      <c r="C145" s="76" t="s">
        <v>677</v>
      </c>
      <c r="D145" s="64"/>
      <c r="E145" s="76" t="s">
        <v>469</v>
      </c>
      <c r="F145" s="64">
        <v>1</v>
      </c>
      <c r="G145" s="61" t="s">
        <v>260</v>
      </c>
      <c r="H145" s="61" t="s">
        <v>261</v>
      </c>
      <c r="I145" s="64" t="s">
        <v>678</v>
      </c>
      <c r="J145" s="64"/>
      <c r="K145" s="213" t="s">
        <v>213</v>
      </c>
      <c r="L145" s="191"/>
      <c r="M145" s="192"/>
      <c r="N145" s="192"/>
      <c r="O145" s="247" t="s">
        <v>638</v>
      </c>
      <c r="P145" s="220" t="str">
        <f>IF(LEFT(B145,5)="09735",
    IF(ISNA(VLOOKUP(Tabla1313[[#This Row],[Apoyo]],'LM SAP'!A:G,1,FALSE)),
        "No Disponible",
        IF(VLOOKUP(Tabla1313[[#This Row],[Apoyo]],'LM SAP'!A:AD,9,FALSE)="RR",
            "Disponible",
            "Firmas SAP"
        )
    ),
    "CONSULTAR"
)</f>
        <v>No Disponible</v>
      </c>
      <c r="Q145" s="63" t="str">
        <f>MID(Tabla1313[[#This Row],[Código Indra]],1,13)</f>
        <v>0973525420000</v>
      </c>
      <c r="R145" s="63" t="s">
        <v>255</v>
      </c>
      <c r="S145" s="90" t="str">
        <f>IF(ISNA(VLOOKUP(Tabla1313[[#This Row],[Código Indra]],#REF!,1,FALSE)),"NO", "SI")</f>
        <v>SI</v>
      </c>
      <c r="T145" s="91"/>
      <c r="U145" t="s">
        <v>260</v>
      </c>
      <c r="V145" t="e">
        <f>VLOOKUP(Tabla1313[[#This Row],[Apoyo]],'LM SAP'!A:I,9,FALSE)</f>
        <v>#N/A</v>
      </c>
      <c r="W145" t="e">
        <f>VLOOKUP(Tabla1313[[#This Row],[Código Indra]],#REF!,1,FALSE)</f>
        <v>#REF!</v>
      </c>
    </row>
    <row r="146" spans="1:23" x14ac:dyDescent="0.25">
      <c r="A146" s="64">
        <v>171</v>
      </c>
      <c r="B146" s="64" t="s">
        <v>186</v>
      </c>
      <c r="C146" s="75" t="s">
        <v>187</v>
      </c>
      <c r="D146" s="64"/>
      <c r="E146" s="75" t="s">
        <v>469</v>
      </c>
      <c r="F146" s="64">
        <v>1</v>
      </c>
      <c r="G146" s="61" t="s">
        <v>260</v>
      </c>
      <c r="H146" s="61" t="s">
        <v>261</v>
      </c>
      <c r="I146" s="61" t="s">
        <v>251</v>
      </c>
      <c r="J146" s="64"/>
      <c r="K146" s="213" t="s">
        <v>212</v>
      </c>
      <c r="L146" s="191"/>
      <c r="M146" s="192"/>
      <c r="N146" s="192"/>
      <c r="O146" s="247" t="s">
        <v>679</v>
      </c>
      <c r="P146" s="220" t="str">
        <f>IF(LEFT(B146,5)="09735",
    IF(ISNA(VLOOKUP(Tabla1313[[#This Row],[Apoyo]],'LM SAP'!A:G,1,FALSE)),
        "No Disponible",
        IF(VLOOKUP(Tabla1313[[#This Row],[Apoyo]],'LM SAP'!A:AD,9,FALSE)="RR",
            "Disponible",
            "Firmas SAP"
        )
    ),
    "CONSULTAR"
)</f>
        <v>No Disponible</v>
      </c>
      <c r="Q146" s="63" t="str">
        <f>MID(Tabla1313[[#This Row],[Código Indra]],1,13)</f>
        <v>0973525480000</v>
      </c>
      <c r="R146" s="63" t="s">
        <v>255</v>
      </c>
      <c r="S146" s="90" t="str">
        <f>IF(ISNA(VLOOKUP(Tabla1313[[#This Row],[Código Indra]],#REF!,1,FALSE)),"NO", "SI")</f>
        <v>SI</v>
      </c>
      <c r="T146" s="91"/>
      <c r="U146" t="s">
        <v>260</v>
      </c>
      <c r="V146" t="e">
        <f>VLOOKUP(Tabla1313[[#This Row],[Apoyo]],'LM SAP'!A:I,9,FALSE)</f>
        <v>#N/A</v>
      </c>
      <c r="W146" t="e">
        <f>VLOOKUP(Tabla1313[[#This Row],[Código Indra]],#REF!,1,FALSE)</f>
        <v>#REF!</v>
      </c>
    </row>
    <row r="147" spans="1:23" x14ac:dyDescent="0.25">
      <c r="A147" s="64">
        <v>173</v>
      </c>
      <c r="B147" s="61" t="s">
        <v>680</v>
      </c>
      <c r="C147" s="76" t="s">
        <v>198</v>
      </c>
      <c r="D147" s="64"/>
      <c r="E147" s="76"/>
      <c r="F147" s="64">
        <v>1</v>
      </c>
      <c r="G147" s="61" t="s">
        <v>622</v>
      </c>
      <c r="H147" s="61" t="s">
        <v>275</v>
      </c>
      <c r="I147" s="64" t="s">
        <v>669</v>
      </c>
      <c r="J147" s="64" t="s">
        <v>474</v>
      </c>
      <c r="K147" s="213" t="s">
        <v>213</v>
      </c>
      <c r="L147" s="191"/>
      <c r="M147" s="192"/>
      <c r="N147" s="192"/>
      <c r="O147" s="247" t="s">
        <v>681</v>
      </c>
      <c r="P147" s="220" t="str">
        <f>IF(LEFT(B147,5)="09735",
    IF(ISNA(VLOOKUP(Tabla1313[[#This Row],[Apoyo]],'LM SAP'!A:G,1,FALSE)),
        "No Disponible",
        IF(VLOOKUP(Tabla1313[[#This Row],[Apoyo]],'LM SAP'!A:AD,9,FALSE)="RR",
            "Disponible",
            "Firmas SAP"
        )
    ),
    "CONSULTAR"
)</f>
        <v>No Disponible</v>
      </c>
      <c r="Q147" s="63" t="str">
        <f>MID(Tabla1313[[#This Row],[Código Indra]],1,13)</f>
        <v>0973545290000</v>
      </c>
      <c r="R147" s="63" t="s">
        <v>260</v>
      </c>
      <c r="S147" s="90" t="str">
        <f>IF(ISNA(VLOOKUP(Tabla1313[[#This Row],[Código Indra]],#REF!,1,FALSE)),"NO", "SI")</f>
        <v>SI</v>
      </c>
      <c r="T147" s="91"/>
      <c r="U147" t="s">
        <v>260</v>
      </c>
      <c r="V147" t="e">
        <f>VLOOKUP(Tabla1313[[#This Row],[Apoyo]],'LM SAP'!A:I,9,FALSE)</f>
        <v>#N/A</v>
      </c>
      <c r="W147" t="e">
        <f>VLOOKUP(Tabla1313[[#This Row],[Código Indra]],#REF!,1,FALSE)</f>
        <v>#REF!</v>
      </c>
    </row>
    <row r="148" spans="1:23" x14ac:dyDescent="0.25">
      <c r="A148" s="64">
        <v>174</v>
      </c>
      <c r="B148" s="64"/>
      <c r="C148" s="75" t="s">
        <v>682</v>
      </c>
      <c r="D148" s="64"/>
      <c r="E148" s="76"/>
      <c r="F148" s="64">
        <v>1</v>
      </c>
      <c r="G148" s="61" t="s">
        <v>622</v>
      </c>
      <c r="H148" s="61" t="s">
        <v>275</v>
      </c>
      <c r="I148" s="61" t="s">
        <v>666</v>
      </c>
      <c r="J148" s="64" t="s">
        <v>474</v>
      </c>
      <c r="K148" s="213" t="s">
        <v>213</v>
      </c>
      <c r="L148" s="191"/>
      <c r="M148" s="192"/>
      <c r="N148" s="192"/>
      <c r="O148" s="247" t="s">
        <v>683</v>
      </c>
      <c r="P148" s="220" t="str">
        <f>IF(LEFT(B148,5)="09735",
    IF(ISNA(VLOOKUP(Tabla1313[[#This Row],[Apoyo]],'LM SAP'!A:G,1,FALSE)),
        "No Disponible",
        IF(VLOOKUP(Tabla1313[[#This Row],[Apoyo]],'LM SAP'!A:AD,9,FALSE)="RR",
            "Disponible",
            "Firmas SAP"
        )
    ),
    "CONSULTAR"
)</f>
        <v>CONSULTAR</v>
      </c>
      <c r="Q148" s="63" t="str">
        <f>MID(Tabla1313[[#This Row],[Código Indra]],1,13)</f>
        <v/>
      </c>
      <c r="R148" s="63" t="s">
        <v>260</v>
      </c>
      <c r="S148" s="90" t="str">
        <f>IF(ISNA(VLOOKUP(Tabla1313[[#This Row],[Código Indra]],#REF!,1,FALSE)),"NO", "SI")</f>
        <v>SI</v>
      </c>
      <c r="T148" s="91"/>
      <c r="U148" t="s">
        <v>260</v>
      </c>
      <c r="V148" t="e">
        <f>VLOOKUP(Tabla1313[[#This Row],[Apoyo]],'LM SAP'!A:I,9,FALSE)</f>
        <v>#N/A</v>
      </c>
      <c r="W148" t="e">
        <f>VLOOKUP(Tabla1313[[#This Row],[Código Indra]],#REF!,1,FALSE)</f>
        <v>#REF!</v>
      </c>
    </row>
    <row r="149" spans="1:23" ht="30" x14ac:dyDescent="0.25">
      <c r="A149" s="64">
        <v>175</v>
      </c>
      <c r="B149" s="61" t="s">
        <v>4</v>
      </c>
      <c r="C149" s="76" t="s">
        <v>684</v>
      </c>
      <c r="D149" s="64"/>
      <c r="E149" s="76" t="s">
        <v>685</v>
      </c>
      <c r="F149" s="64">
        <v>1</v>
      </c>
      <c r="G149" s="61" t="s">
        <v>260</v>
      </c>
      <c r="H149" s="61" t="s">
        <v>261</v>
      </c>
      <c r="I149" s="64" t="s">
        <v>560</v>
      </c>
      <c r="J149" s="64" t="s">
        <v>474</v>
      </c>
      <c r="K149" s="213" t="s">
        <v>217</v>
      </c>
      <c r="L149" s="191">
        <v>60004564</v>
      </c>
      <c r="M149" s="192">
        <v>45572</v>
      </c>
      <c r="N149" s="192">
        <v>45572</v>
      </c>
      <c r="O149" s="258" t="s">
        <v>686</v>
      </c>
      <c r="P149" s="220" t="str">
        <f>IF(LEFT(B149,5)="09735",
    IF(ISNA(VLOOKUP(Tabla1313[[#This Row],[Apoyo]],'LM SAP'!A:G,1,FALSE)),
        "No Disponible",
        IF(VLOOKUP(Tabla1313[[#This Row],[Apoyo]],'LM SAP'!A:AD,9,FALSE)="RR",
            "Disponible",
            "Firmas SAP"
        )
    ),
    "CONSULTAR"
)</f>
        <v>No Disponible</v>
      </c>
      <c r="Q149" s="63" t="str">
        <f>MID(Tabla1313[[#This Row],[Código Indra]],1,13)</f>
        <v>0973520000000</v>
      </c>
      <c r="R149" s="63" t="s">
        <v>255</v>
      </c>
      <c r="S149" s="90" t="str">
        <f>IF(ISNA(VLOOKUP(Tabla1313[[#This Row],[Código Indra]],#REF!,1,FALSE)),"NO", "SI")</f>
        <v>SI</v>
      </c>
      <c r="T149" s="91"/>
      <c r="U149" t="s">
        <v>255</v>
      </c>
      <c r="V149" t="e">
        <f>VLOOKUP(Tabla1313[[#This Row],[Apoyo]],'LM SAP'!A:I,9,FALSE)</f>
        <v>#N/A</v>
      </c>
      <c r="W149" t="e">
        <f>VLOOKUP(Tabla1313[[#This Row],[Código Indra]],#REF!,1,FALSE)</f>
        <v>#REF!</v>
      </c>
    </row>
    <row r="150" spans="1:23" ht="24.75" x14ac:dyDescent="0.25">
      <c r="A150" s="64">
        <v>176</v>
      </c>
      <c r="B150" s="64" t="s">
        <v>687</v>
      </c>
      <c r="C150" s="75" t="s">
        <v>688</v>
      </c>
      <c r="D150" s="64"/>
      <c r="E150" s="76"/>
      <c r="F150" s="64">
        <v>1</v>
      </c>
      <c r="G150" s="61" t="s">
        <v>234</v>
      </c>
      <c r="H150" s="64"/>
      <c r="I150" s="61" t="s">
        <v>560</v>
      </c>
      <c r="J150" s="64" t="s">
        <v>474</v>
      </c>
      <c r="K150" s="213" t="s">
        <v>219</v>
      </c>
      <c r="L150" s="191">
        <v>60004502</v>
      </c>
      <c r="M150" s="192">
        <v>45607</v>
      </c>
      <c r="N150" s="192">
        <v>45624</v>
      </c>
      <c r="O150" s="259" t="s">
        <v>689</v>
      </c>
      <c r="P150" s="220" t="str">
        <f>IF(LEFT(B150,5)="09735",
    IF(ISNA(VLOOKUP(Tabla1313[[#This Row],[Apoyo]],'LM SAP'!A:G,1,FALSE)),
        "No Disponible",
        IF(VLOOKUP(Tabla1313[[#This Row],[Apoyo]],'LM SAP'!A:AD,9,FALSE)="RR",
            "Disponible",
            "Firmas SAP"
        )
    ),
    "CONSULTAR"
)</f>
        <v>No Disponible</v>
      </c>
      <c r="Q150" s="63" t="str">
        <f>MID(Tabla1313[[#This Row],[Código Indra]],1,13)</f>
        <v>0973545042100</v>
      </c>
      <c r="R150" s="63" t="s">
        <v>255</v>
      </c>
      <c r="S150" s="90" t="str">
        <f>IF(ISNA(VLOOKUP(Tabla1313[[#This Row],[Código Indra]],#REF!,1,FALSE)),"NO", "SI")</f>
        <v>SI</v>
      </c>
      <c r="T150" s="91"/>
      <c r="U150" t="s">
        <v>256</v>
      </c>
      <c r="V150" t="e">
        <f>VLOOKUP(Tabla1313[[#This Row],[Apoyo]],'LM SAP'!A:I,9,FALSE)</f>
        <v>#N/A</v>
      </c>
      <c r="W150" t="e">
        <f>VLOOKUP(Tabla1313[[#This Row],[Código Indra]],#REF!,1,FALSE)</f>
        <v>#REF!</v>
      </c>
    </row>
    <row r="151" spans="1:23" ht="45" x14ac:dyDescent="0.25">
      <c r="A151" s="64">
        <v>177</v>
      </c>
      <c r="B151" s="61" t="s">
        <v>690</v>
      </c>
      <c r="C151" s="76" t="s">
        <v>691</v>
      </c>
      <c r="D151" s="64"/>
      <c r="E151" s="76" t="s">
        <v>692</v>
      </c>
      <c r="F151" s="64">
        <v>1</v>
      </c>
      <c r="G151" s="61" t="s">
        <v>260</v>
      </c>
      <c r="H151" s="61" t="s">
        <v>261</v>
      </c>
      <c r="I151" s="64" t="s">
        <v>251</v>
      </c>
      <c r="J151" s="64"/>
      <c r="K151" s="184" t="s">
        <v>221</v>
      </c>
      <c r="L151" s="191">
        <v>60004390</v>
      </c>
      <c r="M151" s="192">
        <v>45551</v>
      </c>
      <c r="N151" s="192">
        <v>45562</v>
      </c>
      <c r="O151" s="260" t="s">
        <v>693</v>
      </c>
      <c r="P151" s="226" t="str">
        <f>IF(LEFT(B151,5)="09735",
    IF(ISNA(VLOOKUP(Tabla1313[[#This Row],[Apoyo]],'LM SAP'!A:G,1,FALSE)),
        "No Disponible",
        IF(VLOOKUP(Tabla1313[[#This Row],[Apoyo]],'LM SAP'!A:AD,9,FALSE)="RR",
            "Disponible",
            "Firmas SAP"
        )
    ),
    "CONSULTAR"
)</f>
        <v>No Disponible</v>
      </c>
      <c r="Q151" s="165" t="str">
        <f>MID(Tabla1313[[#This Row],[Código Indra]],1,13)</f>
        <v>0973525060900</v>
      </c>
      <c r="R151" s="63" t="s">
        <v>255</v>
      </c>
      <c r="S151" s="166" t="str">
        <f>IF(ISNA(VLOOKUP(Tabla1313[[#This Row],[Código Indra]],#REF!,1,FALSE)),"NO", "SI")</f>
        <v>SI</v>
      </c>
      <c r="T151" s="7" t="s">
        <v>289</v>
      </c>
      <c r="U151" t="s">
        <v>260</v>
      </c>
      <c r="V151" t="e">
        <f>VLOOKUP(Tabla1313[[#This Row],[Apoyo]],'LM SAP'!A:I,9,FALSE)</f>
        <v>#N/A</v>
      </c>
      <c r="W151" t="e">
        <f>VLOOKUP(Tabla1313[[#This Row],[Código Indra]],#REF!,1,FALSE)</f>
        <v>#REF!</v>
      </c>
    </row>
    <row r="152" spans="1:23" ht="45" x14ac:dyDescent="0.25">
      <c r="A152" s="64">
        <v>178</v>
      </c>
      <c r="B152" s="64" t="s">
        <v>694</v>
      </c>
      <c r="C152" s="75" t="s">
        <v>695</v>
      </c>
      <c r="D152" s="64"/>
      <c r="E152" s="75" t="s">
        <v>696</v>
      </c>
      <c r="F152" s="64">
        <v>1</v>
      </c>
      <c r="G152" s="61" t="s">
        <v>260</v>
      </c>
      <c r="H152" s="61" t="s">
        <v>261</v>
      </c>
      <c r="I152" s="61" t="s">
        <v>321</v>
      </c>
      <c r="J152" s="64">
        <v>24370001</v>
      </c>
      <c r="K152" s="184" t="s">
        <v>221</v>
      </c>
      <c r="L152" s="191">
        <v>60004391</v>
      </c>
      <c r="M152" s="192">
        <v>45551</v>
      </c>
      <c r="N152" s="192">
        <v>45562</v>
      </c>
      <c r="O152" s="260" t="s">
        <v>697</v>
      </c>
      <c r="P152" s="226" t="str">
        <f>IF(LEFT(B152,5)="09735",
    IF(ISNA(VLOOKUP(Tabla1313[[#This Row],[Apoyo]],'LM SAP'!A:G,1,FALSE)),
        "No Disponible",
        IF(VLOOKUP(Tabla1313[[#This Row],[Apoyo]],'LM SAP'!A:AD,9,FALSE)="RR",
            "Disponible",
            "Firmas SAP"
        )
    ),
    "CONSULTAR"
)</f>
        <v>No Disponible</v>
      </c>
      <c r="Q152" s="165" t="str">
        <f>MID(Tabla1313[[#This Row],[Código Indra]],1,13)</f>
        <v>0973525113000</v>
      </c>
      <c r="R152" s="63" t="s">
        <v>255</v>
      </c>
      <c r="S152" s="166" t="str">
        <f>IF(ISNA(VLOOKUP(Tabla1313[[#This Row],[Código Indra]],#REF!,1,FALSE)),"NO", "SI")</f>
        <v>SI</v>
      </c>
      <c r="T152" s="7" t="s">
        <v>289</v>
      </c>
      <c r="U152" t="s">
        <v>260</v>
      </c>
      <c r="V152" t="e">
        <f>VLOOKUP(Tabla1313[[#This Row],[Apoyo]],'LM SAP'!A:I,9,FALSE)</f>
        <v>#N/A</v>
      </c>
      <c r="W152" t="e">
        <f>VLOOKUP(Tabla1313[[#This Row],[Código Indra]],#REF!,1,FALSE)</f>
        <v>#REF!</v>
      </c>
    </row>
    <row r="153" spans="1:23" ht="45" x14ac:dyDescent="0.25">
      <c r="A153" s="64">
        <v>179</v>
      </c>
      <c r="B153" s="61" t="s">
        <v>698</v>
      </c>
      <c r="C153" s="76" t="s">
        <v>699</v>
      </c>
      <c r="D153" s="64" t="s">
        <v>700</v>
      </c>
      <c r="E153" s="76" t="s">
        <v>701</v>
      </c>
      <c r="F153" s="64">
        <v>1</v>
      </c>
      <c r="G153" s="61" t="s">
        <v>260</v>
      </c>
      <c r="H153" s="61" t="s">
        <v>261</v>
      </c>
      <c r="I153" s="64" t="s">
        <v>321</v>
      </c>
      <c r="J153" s="64">
        <v>24370001</v>
      </c>
      <c r="K153" s="184" t="s">
        <v>221</v>
      </c>
      <c r="L153" s="191">
        <v>60004392</v>
      </c>
      <c r="M153" s="192">
        <v>45551</v>
      </c>
      <c r="N153" s="192">
        <v>45562</v>
      </c>
      <c r="O153" s="260" t="s">
        <v>697</v>
      </c>
      <c r="P153" s="226" t="str">
        <f>IF(LEFT(B153,5)="09735",
    IF(ISNA(VLOOKUP(Tabla1313[[#This Row],[Apoyo]],'LM SAP'!A:G,1,FALSE)),
        "No Disponible",
        IF(VLOOKUP(Tabla1313[[#This Row],[Apoyo]],'LM SAP'!A:AD,9,FALSE)="RR",
            "Disponible",
            "Firmas SAP"
        )
    ),
    "CONSULTAR"
)</f>
        <v>No Disponible</v>
      </c>
      <c r="Q153" s="165" t="str">
        <f>MID(Tabla1313[[#This Row],[Código Indra]],1,13)</f>
        <v>0973525113100</v>
      </c>
      <c r="R153" s="63" t="s">
        <v>255</v>
      </c>
      <c r="S153" s="166" t="str">
        <f>IF(ISNA(VLOOKUP(Tabla1313[[#This Row],[Código Indra]],#REF!,1,FALSE)),"NO", "SI")</f>
        <v>SI</v>
      </c>
      <c r="T153" s="7" t="s">
        <v>289</v>
      </c>
      <c r="U153" t="s">
        <v>260</v>
      </c>
      <c r="V153" t="e">
        <f>VLOOKUP(Tabla1313[[#This Row],[Apoyo]],'LM SAP'!A:I,9,FALSE)</f>
        <v>#N/A</v>
      </c>
      <c r="W153" t="e">
        <f>VLOOKUP(Tabla1313[[#This Row],[Código Indra]],#REF!,1,FALSE)</f>
        <v>#REF!</v>
      </c>
    </row>
    <row r="154" spans="1:23" ht="45" x14ac:dyDescent="0.25">
      <c r="A154" s="64">
        <v>180</v>
      </c>
      <c r="B154" s="64" t="s">
        <v>4</v>
      </c>
      <c r="C154" s="75" t="s">
        <v>702</v>
      </c>
      <c r="D154" s="64"/>
      <c r="E154" s="76"/>
      <c r="F154" s="64">
        <v>1</v>
      </c>
      <c r="G154" s="61" t="s">
        <v>260</v>
      </c>
      <c r="H154" s="61" t="s">
        <v>261</v>
      </c>
      <c r="I154" s="64"/>
      <c r="J154" s="64"/>
      <c r="K154" s="213" t="s">
        <v>217</v>
      </c>
      <c r="L154" s="191">
        <v>60004503</v>
      </c>
      <c r="M154" s="192">
        <v>45567</v>
      </c>
      <c r="N154" s="192">
        <v>45567</v>
      </c>
      <c r="O154" s="258" t="s">
        <v>703</v>
      </c>
      <c r="P154" s="220" t="str">
        <f>IF(LEFT(B154,5)="09735",
    IF(ISNA(VLOOKUP(Tabla1313[[#This Row],[Apoyo]],'LM SAP'!A:G,1,FALSE)),
        "No Disponible",
        IF(VLOOKUP(Tabla1313[[#This Row],[Apoyo]],'LM SAP'!A:AD,9,FALSE)="RR",
            "Disponible",
            "Firmas SAP"
        )
    ),
    "CONSULTAR"
)</f>
        <v>No Disponible</v>
      </c>
      <c r="Q154" s="123" t="str">
        <f>MID(Tabla1313[[#This Row],[Código Indra]],1,13)</f>
        <v>0973520000000</v>
      </c>
      <c r="R154" s="63" t="s">
        <v>255</v>
      </c>
      <c r="S154" s="90" t="str">
        <f>IF(ISNA(VLOOKUP(Tabla1313[[#This Row],[Código Indra]],#REF!,1,FALSE)),"NO", "SI")</f>
        <v>SI</v>
      </c>
      <c r="T154" s="91"/>
      <c r="U154" t="s">
        <v>255</v>
      </c>
      <c r="V154" t="e">
        <f>VLOOKUP(Tabla1313[[#This Row],[Apoyo]],'LM SAP'!A:I,9,FALSE)</f>
        <v>#N/A</v>
      </c>
      <c r="W154" t="e">
        <f>VLOOKUP(Tabla1313[[#This Row],[Código Indra]],#REF!,1,FALSE)</f>
        <v>#REF!</v>
      </c>
    </row>
    <row r="155" spans="1:23" ht="30" x14ac:dyDescent="0.25">
      <c r="A155" s="64">
        <v>181</v>
      </c>
      <c r="B155" s="61" t="s">
        <v>704</v>
      </c>
      <c r="C155" s="76" t="s">
        <v>705</v>
      </c>
      <c r="D155" s="64"/>
      <c r="E155" s="76" t="s">
        <v>706</v>
      </c>
      <c r="F155" s="64">
        <v>1</v>
      </c>
      <c r="G155" s="61" t="s">
        <v>260</v>
      </c>
      <c r="H155" s="61" t="s">
        <v>261</v>
      </c>
      <c r="I155" s="64" t="s">
        <v>321</v>
      </c>
      <c r="J155" s="64">
        <v>24390001</v>
      </c>
      <c r="K155" s="213" t="s">
        <v>262</v>
      </c>
      <c r="L155" s="191">
        <v>60004538</v>
      </c>
      <c r="M155" s="192">
        <v>45568</v>
      </c>
      <c r="N155" s="192">
        <v>45580</v>
      </c>
      <c r="O155" s="88" t="s">
        <v>707</v>
      </c>
      <c r="P155" s="220" t="str">
        <f>IF(LEFT(B155,5)="09735",
    IF(ISNA(VLOOKUP(Tabla1313[[#This Row],[Apoyo]],'LM SAP'!A:G,1,FALSE)),
        "No Disponible",
        IF(VLOOKUP(Tabla1313[[#This Row],[Apoyo]],'LM SAP'!A:AD,9,FALSE)="RR",
            "Disponible",
            "Firmas SAP"
        )
    ),
    "CONSULTAR"
)</f>
        <v>No Disponible</v>
      </c>
      <c r="Q155" s="120" t="str">
        <f>MID(Tabla1313[[#This Row],[Código Indra]],1,13)</f>
        <v>0973525139000</v>
      </c>
      <c r="R155" s="63" t="s">
        <v>255</v>
      </c>
      <c r="S155" s="90" t="str">
        <f>IF(ISNA(VLOOKUP(Tabla1313[[#This Row],[Código Indra]],#REF!,1,FALSE)),"NO", "SI")</f>
        <v>SI</v>
      </c>
      <c r="T155" s="91"/>
      <c r="U155" t="s">
        <v>260</v>
      </c>
      <c r="V155" t="e">
        <f>VLOOKUP(Tabla1313[[#This Row],[Apoyo]],'LM SAP'!A:I,9,FALSE)</f>
        <v>#N/A</v>
      </c>
      <c r="W155" t="e">
        <f>VLOOKUP(Tabla1313[[#This Row],[Código Indra]],#REF!,1,FALSE)</f>
        <v>#REF!</v>
      </c>
    </row>
    <row r="156" spans="1:23" ht="60" x14ac:dyDescent="0.25">
      <c r="A156" s="64">
        <v>182</v>
      </c>
      <c r="B156" s="61" t="s">
        <v>708</v>
      </c>
      <c r="C156" s="75" t="s">
        <v>709</v>
      </c>
      <c r="D156" s="61" t="s">
        <v>700</v>
      </c>
      <c r="E156" s="75" t="s">
        <v>710</v>
      </c>
      <c r="F156" s="64">
        <v>1</v>
      </c>
      <c r="G156" s="61" t="s">
        <v>234</v>
      </c>
      <c r="H156" s="64"/>
      <c r="I156" s="61" t="s">
        <v>321</v>
      </c>
      <c r="J156" s="64"/>
      <c r="K156" s="213" t="s">
        <v>219</v>
      </c>
      <c r="L156" s="191">
        <v>60005167</v>
      </c>
      <c r="M156" s="192">
        <v>45621</v>
      </c>
      <c r="N156" s="192">
        <v>45631</v>
      </c>
      <c r="O156" s="242" t="s">
        <v>711</v>
      </c>
      <c r="P156" s="220" t="str">
        <f>IF(LEFT(B156,5)="09735",
    IF(ISNA(VLOOKUP(Tabla1313[[#This Row],[Apoyo]],'LM SAP'!A:G,1,FALSE)),
        "No Disponible",
        IF(VLOOKUP(Tabla1313[[#This Row],[Apoyo]],'LM SAP'!A:AD,9,FALSE)="RR",
            "Disponible",
            "Firmas SAP"
        )
    ),
    "CONSULTAR"
)</f>
        <v>No Disponible</v>
      </c>
      <c r="Q156" s="63" t="str">
        <f>MID(Tabla1313[[#This Row],[Código Indra]],1,13)</f>
        <v>0973525201600</v>
      </c>
      <c r="R156" s="63" t="s">
        <v>255</v>
      </c>
      <c r="S156" s="90" t="str">
        <f>IF(ISNA(VLOOKUP(Tabla1313[[#This Row],[Código Indra]],#REF!,1,FALSE)),"NO", "SI")</f>
        <v>SI</v>
      </c>
      <c r="T156" s="91"/>
      <c r="U156" t="s">
        <v>255</v>
      </c>
      <c r="V156" t="e">
        <f>VLOOKUP(Tabla1313[[#This Row],[Apoyo]],'LM SAP'!A:I,9,FALSE)</f>
        <v>#N/A</v>
      </c>
      <c r="W156" t="e">
        <f>VLOOKUP(Tabla1313[[#This Row],[Código Indra]],#REF!,1,FALSE)</f>
        <v>#REF!</v>
      </c>
    </row>
    <row r="157" spans="1:23" ht="60" x14ac:dyDescent="0.25">
      <c r="A157" s="64">
        <v>183</v>
      </c>
      <c r="B157" s="61" t="s">
        <v>712</v>
      </c>
      <c r="C157" s="76" t="s">
        <v>713</v>
      </c>
      <c r="D157" s="64"/>
      <c r="E157" s="76" t="s">
        <v>714</v>
      </c>
      <c r="F157" s="64">
        <v>1</v>
      </c>
      <c r="G157" s="61" t="s">
        <v>260</v>
      </c>
      <c r="H157" s="61" t="s">
        <v>261</v>
      </c>
      <c r="I157" s="64" t="s">
        <v>276</v>
      </c>
      <c r="J157" s="64"/>
      <c r="K157" s="213" t="s">
        <v>216</v>
      </c>
      <c r="L157" s="222">
        <v>60004832</v>
      </c>
      <c r="M157" s="223">
        <v>45600</v>
      </c>
      <c r="N157" s="192"/>
      <c r="O157" s="239" t="s">
        <v>715</v>
      </c>
      <c r="P157" s="220" t="str">
        <f>IF(LEFT(B157,5)="09735",
    IF(ISNA(VLOOKUP(Tabla1313[[#This Row],[Apoyo]],'LM SAP'!A:G,1,FALSE)),
        "No Disponible",
        IF(VLOOKUP(Tabla1313[[#This Row],[Apoyo]],'LM SAP'!A:AD,9,FALSE)="RR",
            "Disponible",
            "Firmas SAP"
        )
    ),
    "CONSULTAR"
)</f>
        <v>Disponible</v>
      </c>
      <c r="Q157" s="65" t="str">
        <f>MID(Tabla1313[[#This Row],[Código Indra]],1,13)</f>
        <v>0973525310100</v>
      </c>
      <c r="R157" s="63" t="s">
        <v>255</v>
      </c>
      <c r="S157" s="90" t="str">
        <f>IF(ISNA(VLOOKUP(Tabla1313[[#This Row],[Código Indra]],#REF!,1,FALSE)),"NO", "SI")</f>
        <v>SI</v>
      </c>
      <c r="T157" s="91"/>
      <c r="U157" t="s">
        <v>260</v>
      </c>
      <c r="V157" t="str">
        <f>VLOOKUP(Tabla1313[[#This Row],[Apoyo]],'LM SAP'!A:I,9,FALSE)</f>
        <v>RR</v>
      </c>
      <c r="W157" t="e">
        <f>VLOOKUP(Tabla1313[[#This Row],[Código Indra]],#REF!,1,FALSE)</f>
        <v>#REF!</v>
      </c>
    </row>
    <row r="158" spans="1:23" ht="24" x14ac:dyDescent="0.25">
      <c r="A158" s="64">
        <v>184</v>
      </c>
      <c r="B158" s="64" t="s">
        <v>716</v>
      </c>
      <c r="C158" s="75" t="s">
        <v>717</v>
      </c>
      <c r="D158" s="61" t="s">
        <v>478</v>
      </c>
      <c r="E158" s="76"/>
      <c r="F158" s="64">
        <v>1</v>
      </c>
      <c r="G158" s="61" t="s">
        <v>234</v>
      </c>
      <c r="H158" s="64"/>
      <c r="I158" s="61" t="s">
        <v>276</v>
      </c>
      <c r="J158" s="64" t="s">
        <v>474</v>
      </c>
      <c r="K158" s="213" t="s">
        <v>220</v>
      </c>
      <c r="L158" s="191">
        <v>60004727</v>
      </c>
      <c r="M158" s="192">
        <v>45595</v>
      </c>
      <c r="N158" s="192">
        <v>45602</v>
      </c>
      <c r="O158" s="196" t="s">
        <v>718</v>
      </c>
      <c r="P158" s="220" t="str">
        <f>IF(LEFT(B158,5)="09735",
    IF(ISNA(VLOOKUP(Tabla1313[[#This Row],[Apoyo]],'LM SAP'!A:G,1,FALSE)),
        "No Disponible",
        IF(VLOOKUP(Tabla1313[[#This Row],[Apoyo]],'LM SAP'!A:AD,9,FALSE)="RR",
            "Disponible",
            "Firmas SAP"
        )
    ),
    "CONSULTAR"
)</f>
        <v>No Disponible</v>
      </c>
      <c r="Q158" s="122" t="str">
        <f>MID(Tabla1313[[#This Row],[Código Indra]],1,13)</f>
        <v>0973545004200</v>
      </c>
      <c r="R158" s="63" t="s">
        <v>255</v>
      </c>
      <c r="S158" s="90" t="str">
        <f>IF(ISNA(VLOOKUP(Tabla1313[[#This Row],[Código Indra]],#REF!,1,FALSE)),"NO", "SI")</f>
        <v>SI</v>
      </c>
      <c r="T158" s="91"/>
      <c r="U158" t="s">
        <v>256</v>
      </c>
      <c r="V158" t="e">
        <f>VLOOKUP(Tabla1313[[#This Row],[Apoyo]],'LM SAP'!A:I,9,FALSE)</f>
        <v>#N/A</v>
      </c>
      <c r="W158" t="e">
        <f>VLOOKUP(Tabla1313[[#This Row],[Código Indra]],#REF!,1,FALSE)</f>
        <v>#REF!</v>
      </c>
    </row>
    <row r="159" spans="1:23" ht="30" x14ac:dyDescent="0.25">
      <c r="A159" s="64">
        <v>185</v>
      </c>
      <c r="B159" s="61" t="s">
        <v>719</v>
      </c>
      <c r="C159" s="76" t="s">
        <v>720</v>
      </c>
      <c r="D159" s="64" t="s">
        <v>651</v>
      </c>
      <c r="E159" s="76" t="s">
        <v>721</v>
      </c>
      <c r="F159" s="64">
        <v>1</v>
      </c>
      <c r="G159" s="61" t="s">
        <v>622</v>
      </c>
      <c r="H159" s="61" t="s">
        <v>275</v>
      </c>
      <c r="I159" s="64" t="s">
        <v>650</v>
      </c>
      <c r="J159" s="64" t="s">
        <v>474</v>
      </c>
      <c r="K159" s="213" t="s">
        <v>212</v>
      </c>
      <c r="L159" s="191"/>
      <c r="M159" s="192"/>
      <c r="N159" s="192"/>
      <c r="O159" s="247" t="s">
        <v>722</v>
      </c>
      <c r="P159" s="220" t="str">
        <f>IF(LEFT(B159,5)="09735",
    IF(ISNA(VLOOKUP(Tabla1313[[#This Row],[Apoyo]],'LM SAP'!A:G,1,FALSE)),
        "No Disponible",
        IF(VLOOKUP(Tabla1313[[#This Row],[Apoyo]],'LM SAP'!A:AD,9,FALSE)="RR",
            "Disponible",
            "Firmas SAP"
        )
    ),
    "CONSULTAR"
)</f>
        <v>No Disponible</v>
      </c>
      <c r="Q159" s="63" t="str">
        <f>MID(Tabla1313[[#This Row],[Código Indra]],1,13)</f>
        <v>0973545210301</v>
      </c>
      <c r="R159" s="63" t="s">
        <v>255</v>
      </c>
      <c r="S159" s="90" t="str">
        <f>IF(ISNA(VLOOKUP(Tabla1313[[#This Row],[Código Indra]],#REF!,1,FALSE)),"NO", "SI")</f>
        <v>SI</v>
      </c>
      <c r="T159" s="91"/>
      <c r="U159" t="s">
        <v>256</v>
      </c>
      <c r="V159" t="e">
        <f>VLOOKUP(Tabla1313[[#This Row],[Apoyo]],'LM SAP'!A:I,9,FALSE)</f>
        <v>#N/A</v>
      </c>
      <c r="W159" t="e">
        <f>VLOOKUP(Tabla1313[[#This Row],[Código Indra]],#REF!,1,FALSE)</f>
        <v>#REF!</v>
      </c>
    </row>
    <row r="160" spans="1:23" ht="30" x14ac:dyDescent="0.25">
      <c r="A160" s="64">
        <v>186</v>
      </c>
      <c r="B160" s="64" t="s">
        <v>723</v>
      </c>
      <c r="C160" s="75" t="s">
        <v>724</v>
      </c>
      <c r="D160" s="61" t="s">
        <v>651</v>
      </c>
      <c r="E160" s="75" t="s">
        <v>725</v>
      </c>
      <c r="F160" s="64">
        <v>1</v>
      </c>
      <c r="G160" s="61" t="s">
        <v>622</v>
      </c>
      <c r="H160" s="61" t="s">
        <v>275</v>
      </c>
      <c r="I160" s="61" t="s">
        <v>650</v>
      </c>
      <c r="J160" s="64" t="s">
        <v>474</v>
      </c>
      <c r="K160" s="213" t="s">
        <v>212</v>
      </c>
      <c r="L160" s="191"/>
      <c r="M160" s="192"/>
      <c r="N160" s="192"/>
      <c r="O160" s="247" t="s">
        <v>722</v>
      </c>
      <c r="P160" s="220" t="str">
        <f>IF(LEFT(B160,5)="09735",
    IF(ISNA(VLOOKUP(Tabla1313[[#This Row],[Apoyo]],'LM SAP'!A:G,1,FALSE)),
        "No Disponible",
        IF(VLOOKUP(Tabla1313[[#This Row],[Apoyo]],'LM SAP'!A:AD,9,FALSE)="RR",
            "Disponible",
            "Firmas SAP"
        )
    ),
    "CONSULTAR"
)</f>
        <v>No Disponible</v>
      </c>
      <c r="Q160" s="63" t="str">
        <f>MID(Tabla1313[[#This Row],[Código Indra]],1,13)</f>
        <v>0973545210302</v>
      </c>
      <c r="R160" s="63" t="s">
        <v>255</v>
      </c>
      <c r="S160" s="90" t="str">
        <f>IF(ISNA(VLOOKUP(Tabla1313[[#This Row],[Código Indra]],#REF!,1,FALSE)),"NO", "SI")</f>
        <v>SI</v>
      </c>
      <c r="T160" s="91"/>
      <c r="U160" t="s">
        <v>256</v>
      </c>
      <c r="V160" t="e">
        <f>VLOOKUP(Tabla1313[[#This Row],[Apoyo]],'LM SAP'!A:I,9,FALSE)</f>
        <v>#N/A</v>
      </c>
      <c r="W160" t="e">
        <f>VLOOKUP(Tabla1313[[#This Row],[Código Indra]],#REF!,1,FALSE)</f>
        <v>#REF!</v>
      </c>
    </row>
    <row r="161" spans="1:23" ht="30" x14ac:dyDescent="0.25">
      <c r="A161" s="64">
        <v>187</v>
      </c>
      <c r="B161" s="61" t="s">
        <v>726</v>
      </c>
      <c r="C161" s="76" t="s">
        <v>727</v>
      </c>
      <c r="D161" s="64" t="s">
        <v>651</v>
      </c>
      <c r="E161" s="76" t="s">
        <v>728</v>
      </c>
      <c r="F161" s="64">
        <v>1</v>
      </c>
      <c r="G161" s="61" t="s">
        <v>622</v>
      </c>
      <c r="H161" s="61" t="s">
        <v>275</v>
      </c>
      <c r="I161" s="64" t="s">
        <v>650</v>
      </c>
      <c r="J161" s="64" t="s">
        <v>474</v>
      </c>
      <c r="K161" s="213" t="s">
        <v>212</v>
      </c>
      <c r="L161" s="191"/>
      <c r="M161" s="192"/>
      <c r="N161" s="192"/>
      <c r="O161" s="247" t="s">
        <v>722</v>
      </c>
      <c r="P161" s="220" t="str">
        <f>IF(LEFT(B161,5)="09735",
    IF(ISNA(VLOOKUP(Tabla1313[[#This Row],[Apoyo]],'LM SAP'!A:G,1,FALSE)),
        "No Disponible",
        IF(VLOOKUP(Tabla1313[[#This Row],[Apoyo]],'LM SAP'!A:AD,9,FALSE)="RR",
            "Disponible",
            "Firmas SAP"
        )
    ),
    "CONSULTAR"
)</f>
        <v>No Disponible</v>
      </c>
      <c r="Q161" s="63" t="str">
        <f>MID(Tabla1313[[#This Row],[Código Indra]],1,13)</f>
        <v>0973545210303</v>
      </c>
      <c r="R161" s="63" t="s">
        <v>255</v>
      </c>
      <c r="S161" s="90" t="str">
        <f>IF(ISNA(VLOOKUP(Tabla1313[[#This Row],[Código Indra]],#REF!,1,FALSE)),"NO", "SI")</f>
        <v>SI</v>
      </c>
      <c r="T161" s="91"/>
      <c r="U161" t="s">
        <v>256</v>
      </c>
      <c r="V161" t="e">
        <f>VLOOKUP(Tabla1313[[#This Row],[Apoyo]],'LM SAP'!A:I,9,FALSE)</f>
        <v>#N/A</v>
      </c>
      <c r="W161" t="e">
        <f>VLOOKUP(Tabla1313[[#This Row],[Código Indra]],#REF!,1,FALSE)</f>
        <v>#REF!</v>
      </c>
    </row>
    <row r="162" spans="1:23" ht="30" x14ac:dyDescent="0.25">
      <c r="A162" s="64">
        <v>188</v>
      </c>
      <c r="B162" s="64" t="s">
        <v>729</v>
      </c>
      <c r="C162" s="75" t="s">
        <v>730</v>
      </c>
      <c r="D162" s="61" t="s">
        <v>651</v>
      </c>
      <c r="E162" s="75" t="s">
        <v>731</v>
      </c>
      <c r="F162" s="64">
        <v>1</v>
      </c>
      <c r="G162" s="61" t="s">
        <v>622</v>
      </c>
      <c r="H162" s="61" t="s">
        <v>275</v>
      </c>
      <c r="I162" s="61" t="s">
        <v>650</v>
      </c>
      <c r="J162" s="64" t="s">
        <v>474</v>
      </c>
      <c r="K162" s="213" t="s">
        <v>212</v>
      </c>
      <c r="L162" s="191"/>
      <c r="M162" s="192"/>
      <c r="N162" s="192"/>
      <c r="O162" s="247" t="s">
        <v>722</v>
      </c>
      <c r="P162" s="220" t="str">
        <f>IF(LEFT(B162,5)="09735",
    IF(ISNA(VLOOKUP(Tabla1313[[#This Row],[Apoyo]],'LM SAP'!A:G,1,FALSE)),
        "No Disponible",
        IF(VLOOKUP(Tabla1313[[#This Row],[Apoyo]],'LM SAP'!A:AD,9,FALSE)="RR",
            "Disponible",
            "Firmas SAP"
        )
    ),
    "CONSULTAR"
)</f>
        <v>No Disponible</v>
      </c>
      <c r="Q162" s="63" t="str">
        <f>MID(Tabla1313[[#This Row],[Código Indra]],1,13)</f>
        <v>0973545210304</v>
      </c>
      <c r="R162" s="63" t="s">
        <v>255</v>
      </c>
      <c r="S162" s="90" t="str">
        <f>IF(ISNA(VLOOKUP(Tabla1313[[#This Row],[Código Indra]],#REF!,1,FALSE)),"NO", "SI")</f>
        <v>SI</v>
      </c>
      <c r="T162" s="91"/>
      <c r="U162" t="s">
        <v>256</v>
      </c>
      <c r="V162" t="e">
        <f>VLOOKUP(Tabla1313[[#This Row],[Apoyo]],'LM SAP'!A:I,9,FALSE)</f>
        <v>#N/A</v>
      </c>
      <c r="W162" t="e">
        <f>VLOOKUP(Tabla1313[[#This Row],[Código Indra]],#REF!,1,FALSE)</f>
        <v>#REF!</v>
      </c>
    </row>
    <row r="163" spans="1:23" ht="30" x14ac:dyDescent="0.25">
      <c r="A163" s="64">
        <v>189</v>
      </c>
      <c r="B163" s="61" t="s">
        <v>732</v>
      </c>
      <c r="C163" s="76" t="s">
        <v>733</v>
      </c>
      <c r="D163" s="64" t="s">
        <v>651</v>
      </c>
      <c r="E163" s="76" t="s">
        <v>734</v>
      </c>
      <c r="F163" s="64">
        <v>1</v>
      </c>
      <c r="G163" s="61" t="s">
        <v>622</v>
      </c>
      <c r="H163" s="61" t="s">
        <v>275</v>
      </c>
      <c r="I163" s="64" t="s">
        <v>650</v>
      </c>
      <c r="J163" s="64" t="s">
        <v>474</v>
      </c>
      <c r="K163" s="213" t="s">
        <v>212</v>
      </c>
      <c r="L163" s="191"/>
      <c r="M163" s="192"/>
      <c r="N163" s="192"/>
      <c r="O163" s="247" t="s">
        <v>722</v>
      </c>
      <c r="P163" s="220" t="str">
        <f>IF(LEFT(B163,5)="09735",
    IF(ISNA(VLOOKUP(Tabla1313[[#This Row],[Apoyo]],'LM SAP'!A:G,1,FALSE)),
        "No Disponible",
        IF(VLOOKUP(Tabla1313[[#This Row],[Apoyo]],'LM SAP'!A:AD,9,FALSE)="RR",
            "Disponible",
            "Firmas SAP"
        )
    ),
    "CONSULTAR"
)</f>
        <v>No Disponible</v>
      </c>
      <c r="Q163" s="63" t="str">
        <f>MID(Tabla1313[[#This Row],[Código Indra]],1,13)</f>
        <v>0973545210305</v>
      </c>
      <c r="R163" s="63" t="s">
        <v>255</v>
      </c>
      <c r="S163" s="90" t="str">
        <f>IF(ISNA(VLOOKUP(Tabla1313[[#This Row],[Código Indra]],#REF!,1,FALSE)),"NO", "SI")</f>
        <v>SI</v>
      </c>
      <c r="T163" s="91"/>
      <c r="U163" t="s">
        <v>256</v>
      </c>
      <c r="V163" t="e">
        <f>VLOOKUP(Tabla1313[[#This Row],[Apoyo]],'LM SAP'!A:I,9,FALSE)</f>
        <v>#N/A</v>
      </c>
      <c r="W163" t="e">
        <f>VLOOKUP(Tabla1313[[#This Row],[Código Indra]],#REF!,1,FALSE)</f>
        <v>#REF!</v>
      </c>
    </row>
    <row r="164" spans="1:23" ht="30" x14ac:dyDescent="0.25">
      <c r="A164" s="64">
        <v>190</v>
      </c>
      <c r="B164" s="64" t="s">
        <v>735</v>
      </c>
      <c r="C164" s="75" t="s">
        <v>736</v>
      </c>
      <c r="D164" s="61" t="s">
        <v>651</v>
      </c>
      <c r="E164" s="75" t="s">
        <v>737</v>
      </c>
      <c r="F164" s="64">
        <v>1</v>
      </c>
      <c r="G164" s="61" t="s">
        <v>622</v>
      </c>
      <c r="H164" s="61" t="s">
        <v>275</v>
      </c>
      <c r="I164" s="61" t="s">
        <v>650</v>
      </c>
      <c r="J164" s="64" t="s">
        <v>474</v>
      </c>
      <c r="K164" s="213" t="s">
        <v>212</v>
      </c>
      <c r="L164" s="191"/>
      <c r="M164" s="192"/>
      <c r="N164" s="192"/>
      <c r="O164" s="247" t="s">
        <v>722</v>
      </c>
      <c r="P164" s="220" t="str">
        <f>IF(LEFT(B164,5)="09735",
    IF(ISNA(VLOOKUP(Tabla1313[[#This Row],[Apoyo]],'LM SAP'!A:G,1,FALSE)),
        "No Disponible",
        IF(VLOOKUP(Tabla1313[[#This Row],[Apoyo]],'LM SAP'!A:AD,9,FALSE)="RR",
            "Disponible",
            "Firmas SAP"
        )
    ),
    "CONSULTAR"
)</f>
        <v>No Disponible</v>
      </c>
      <c r="Q164" s="63" t="str">
        <f>MID(Tabla1313[[#This Row],[Código Indra]],1,13)</f>
        <v>0973545210306</v>
      </c>
      <c r="R164" s="63" t="s">
        <v>255</v>
      </c>
      <c r="S164" s="90" t="str">
        <f>IF(ISNA(VLOOKUP(Tabla1313[[#This Row],[Código Indra]],#REF!,1,FALSE)),"NO", "SI")</f>
        <v>SI</v>
      </c>
      <c r="T164" s="91"/>
      <c r="U164" t="s">
        <v>256</v>
      </c>
      <c r="V164" t="e">
        <f>VLOOKUP(Tabla1313[[#This Row],[Apoyo]],'LM SAP'!A:I,9,FALSE)</f>
        <v>#N/A</v>
      </c>
      <c r="W164" t="e">
        <f>VLOOKUP(Tabla1313[[#This Row],[Código Indra]],#REF!,1,FALSE)</f>
        <v>#REF!</v>
      </c>
    </row>
    <row r="165" spans="1:23" ht="30" x14ac:dyDescent="0.25">
      <c r="A165" s="64">
        <v>191</v>
      </c>
      <c r="B165" s="61" t="s">
        <v>738</v>
      </c>
      <c r="C165" s="76" t="s">
        <v>739</v>
      </c>
      <c r="D165" s="64" t="s">
        <v>651</v>
      </c>
      <c r="E165" s="76" t="s">
        <v>740</v>
      </c>
      <c r="F165" s="64">
        <v>1</v>
      </c>
      <c r="G165" s="61" t="s">
        <v>622</v>
      </c>
      <c r="H165" s="61" t="s">
        <v>275</v>
      </c>
      <c r="I165" s="64" t="s">
        <v>650</v>
      </c>
      <c r="J165" s="64" t="s">
        <v>474</v>
      </c>
      <c r="K165" s="213" t="s">
        <v>212</v>
      </c>
      <c r="L165" s="191"/>
      <c r="M165" s="192"/>
      <c r="N165" s="192"/>
      <c r="O165" s="247" t="s">
        <v>722</v>
      </c>
      <c r="P165" s="220" t="str">
        <f>IF(LEFT(B165,5)="09735",
    IF(ISNA(VLOOKUP(Tabla1313[[#This Row],[Apoyo]],'LM SAP'!A:G,1,FALSE)),
        "No Disponible",
        IF(VLOOKUP(Tabla1313[[#This Row],[Apoyo]],'LM SAP'!A:AD,9,FALSE)="RR",
            "Disponible",
            "Firmas SAP"
        )
    ),
    "CONSULTAR"
)</f>
        <v>No Disponible</v>
      </c>
      <c r="Q165" s="63" t="str">
        <f>MID(Tabla1313[[#This Row],[Código Indra]],1,13)</f>
        <v>0973545210307</v>
      </c>
      <c r="R165" s="63" t="s">
        <v>255</v>
      </c>
      <c r="S165" s="90" t="str">
        <f>IF(ISNA(VLOOKUP(Tabla1313[[#This Row],[Código Indra]],#REF!,1,FALSE)),"NO", "SI")</f>
        <v>SI</v>
      </c>
      <c r="T165" s="91"/>
      <c r="U165" t="s">
        <v>256</v>
      </c>
      <c r="V165" t="e">
        <f>VLOOKUP(Tabla1313[[#This Row],[Apoyo]],'LM SAP'!A:I,9,FALSE)</f>
        <v>#N/A</v>
      </c>
      <c r="W165" t="e">
        <f>VLOOKUP(Tabla1313[[#This Row],[Código Indra]],#REF!,1,FALSE)</f>
        <v>#REF!</v>
      </c>
    </row>
    <row r="166" spans="1:23" ht="30" x14ac:dyDescent="0.25">
      <c r="A166" s="64">
        <v>192</v>
      </c>
      <c r="B166" s="64" t="s">
        <v>741</v>
      </c>
      <c r="C166" s="75" t="s">
        <v>742</v>
      </c>
      <c r="D166" s="61" t="s">
        <v>651</v>
      </c>
      <c r="E166" s="75" t="s">
        <v>743</v>
      </c>
      <c r="F166" s="64">
        <v>1</v>
      </c>
      <c r="G166" s="61" t="s">
        <v>622</v>
      </c>
      <c r="H166" s="61" t="s">
        <v>275</v>
      </c>
      <c r="I166" s="61" t="s">
        <v>650</v>
      </c>
      <c r="J166" s="64" t="s">
        <v>474</v>
      </c>
      <c r="K166" s="213" t="s">
        <v>212</v>
      </c>
      <c r="L166" s="191"/>
      <c r="M166" s="192"/>
      <c r="N166" s="192"/>
      <c r="O166" s="247" t="s">
        <v>722</v>
      </c>
      <c r="P166" s="220" t="str">
        <f>IF(LEFT(B166,5)="09735",
    IF(ISNA(VLOOKUP(Tabla1313[[#This Row],[Apoyo]],'LM SAP'!A:G,1,FALSE)),
        "No Disponible",
        IF(VLOOKUP(Tabla1313[[#This Row],[Apoyo]],'LM SAP'!A:AD,9,FALSE)="RR",
            "Disponible",
            "Firmas SAP"
        )
    ),
    "CONSULTAR"
)</f>
        <v>No Disponible</v>
      </c>
      <c r="Q166" s="63" t="str">
        <f>MID(Tabla1313[[#This Row],[Código Indra]],1,13)</f>
        <v>0973545210308</v>
      </c>
      <c r="R166" s="63" t="s">
        <v>255</v>
      </c>
      <c r="S166" s="90" t="str">
        <f>IF(ISNA(VLOOKUP(Tabla1313[[#This Row],[Código Indra]],#REF!,1,FALSE)),"NO", "SI")</f>
        <v>SI</v>
      </c>
      <c r="T166" s="91"/>
      <c r="U166" t="s">
        <v>256</v>
      </c>
      <c r="V166" t="e">
        <f>VLOOKUP(Tabla1313[[#This Row],[Apoyo]],'LM SAP'!A:I,9,FALSE)</f>
        <v>#N/A</v>
      </c>
      <c r="W166" t="e">
        <f>VLOOKUP(Tabla1313[[#This Row],[Código Indra]],#REF!,1,FALSE)</f>
        <v>#REF!</v>
      </c>
    </row>
    <row r="167" spans="1:23" ht="30" x14ac:dyDescent="0.25">
      <c r="A167" s="64">
        <v>193</v>
      </c>
      <c r="B167" s="61" t="s">
        <v>744</v>
      </c>
      <c r="C167" s="76" t="s">
        <v>745</v>
      </c>
      <c r="D167" s="64" t="s">
        <v>651</v>
      </c>
      <c r="E167" s="76" t="s">
        <v>746</v>
      </c>
      <c r="F167" s="64">
        <v>1</v>
      </c>
      <c r="G167" s="61" t="s">
        <v>622</v>
      </c>
      <c r="H167" s="61" t="s">
        <v>275</v>
      </c>
      <c r="I167" s="64" t="s">
        <v>650</v>
      </c>
      <c r="J167" s="64" t="s">
        <v>474</v>
      </c>
      <c r="K167" s="213" t="s">
        <v>212</v>
      </c>
      <c r="L167" s="191"/>
      <c r="M167" s="192"/>
      <c r="N167" s="192"/>
      <c r="O167" s="247" t="s">
        <v>722</v>
      </c>
      <c r="P167" s="220" t="str">
        <f>IF(LEFT(B167,5)="09735",
    IF(ISNA(VLOOKUP(Tabla1313[[#This Row],[Apoyo]],'LM SAP'!A:G,1,FALSE)),
        "No Disponible",
        IF(VLOOKUP(Tabla1313[[#This Row],[Apoyo]],'LM SAP'!A:AD,9,FALSE)="RR",
            "Disponible",
            "Firmas SAP"
        )
    ),
    "CONSULTAR"
)</f>
        <v>No Disponible</v>
      </c>
      <c r="Q167" s="63" t="str">
        <f>MID(Tabla1313[[#This Row],[Código Indra]],1,13)</f>
        <v>0973545210401</v>
      </c>
      <c r="R167" s="63" t="s">
        <v>255</v>
      </c>
      <c r="S167" s="90" t="str">
        <f>IF(ISNA(VLOOKUP(Tabla1313[[#This Row],[Código Indra]],#REF!,1,FALSE)),"NO", "SI")</f>
        <v>SI</v>
      </c>
      <c r="T167" s="91"/>
      <c r="U167" t="s">
        <v>256</v>
      </c>
      <c r="V167" t="e">
        <f>VLOOKUP(Tabla1313[[#This Row],[Apoyo]],'LM SAP'!A:I,9,FALSE)</f>
        <v>#N/A</v>
      </c>
      <c r="W167" t="e">
        <f>VLOOKUP(Tabla1313[[#This Row],[Código Indra]],#REF!,1,FALSE)</f>
        <v>#REF!</v>
      </c>
    </row>
    <row r="168" spans="1:23" ht="30" x14ac:dyDescent="0.25">
      <c r="A168" s="64">
        <v>194</v>
      </c>
      <c r="B168" s="64" t="s">
        <v>747</v>
      </c>
      <c r="C168" s="75" t="s">
        <v>748</v>
      </c>
      <c r="D168" s="61" t="s">
        <v>651</v>
      </c>
      <c r="E168" s="75" t="s">
        <v>749</v>
      </c>
      <c r="F168" s="64">
        <v>1</v>
      </c>
      <c r="G168" s="61" t="s">
        <v>622</v>
      </c>
      <c r="H168" s="61" t="s">
        <v>275</v>
      </c>
      <c r="I168" s="61" t="s">
        <v>650</v>
      </c>
      <c r="J168" s="64" t="s">
        <v>474</v>
      </c>
      <c r="K168" s="213" t="s">
        <v>212</v>
      </c>
      <c r="L168" s="191"/>
      <c r="M168" s="192"/>
      <c r="N168" s="192"/>
      <c r="O168" s="247" t="s">
        <v>722</v>
      </c>
      <c r="P168" s="220" t="str">
        <f>IF(LEFT(B168,5)="09735",
    IF(ISNA(VLOOKUP(Tabla1313[[#This Row],[Apoyo]],'LM SAP'!A:G,1,FALSE)),
        "No Disponible",
        IF(VLOOKUP(Tabla1313[[#This Row],[Apoyo]],'LM SAP'!A:AD,9,FALSE)="RR",
            "Disponible",
            "Firmas SAP"
        )
    ),
    "CONSULTAR"
)</f>
        <v>No Disponible</v>
      </c>
      <c r="Q168" s="63" t="str">
        <f>MID(Tabla1313[[#This Row],[Código Indra]],1,13)</f>
        <v>0973545210501</v>
      </c>
      <c r="R168" s="63" t="s">
        <v>255</v>
      </c>
      <c r="S168" s="90" t="str">
        <f>IF(ISNA(VLOOKUP(Tabla1313[[#This Row],[Código Indra]],#REF!,1,FALSE)),"NO", "SI")</f>
        <v>SI</v>
      </c>
      <c r="T168" s="91"/>
      <c r="U168" t="s">
        <v>256</v>
      </c>
      <c r="V168" t="e">
        <f>VLOOKUP(Tabla1313[[#This Row],[Apoyo]],'LM SAP'!A:I,9,FALSE)</f>
        <v>#N/A</v>
      </c>
      <c r="W168" t="e">
        <f>VLOOKUP(Tabla1313[[#This Row],[Código Indra]],#REF!,1,FALSE)</f>
        <v>#REF!</v>
      </c>
    </row>
    <row r="169" spans="1:23" ht="30" x14ac:dyDescent="0.25">
      <c r="A169" s="64">
        <v>195</v>
      </c>
      <c r="B169" s="61" t="s">
        <v>750</v>
      </c>
      <c r="C169" s="76" t="s">
        <v>751</v>
      </c>
      <c r="D169" s="64" t="s">
        <v>651</v>
      </c>
      <c r="E169" s="76" t="s">
        <v>752</v>
      </c>
      <c r="F169" s="64">
        <v>1</v>
      </c>
      <c r="G169" s="61" t="s">
        <v>622</v>
      </c>
      <c r="H169" s="61" t="s">
        <v>275</v>
      </c>
      <c r="I169" s="64" t="s">
        <v>650</v>
      </c>
      <c r="J169" s="64" t="s">
        <v>474</v>
      </c>
      <c r="K169" s="213" t="s">
        <v>212</v>
      </c>
      <c r="L169" s="191"/>
      <c r="M169" s="192"/>
      <c r="N169" s="192"/>
      <c r="O169" s="247" t="s">
        <v>722</v>
      </c>
      <c r="P169" s="220" t="str">
        <f>IF(LEFT(B169,5)="09735",
    IF(ISNA(VLOOKUP(Tabla1313[[#This Row],[Apoyo]],'LM SAP'!A:G,1,FALSE)),
        "No Disponible",
        IF(VLOOKUP(Tabla1313[[#This Row],[Apoyo]],'LM SAP'!A:AD,9,FALSE)="RR",
            "Disponible",
            "Firmas SAP"
        )
    ),
    "CONSULTAR"
)</f>
        <v>No Disponible</v>
      </c>
      <c r="Q169" s="63" t="str">
        <f>MID(Tabla1313[[#This Row],[Código Indra]],1,13)</f>
        <v>0973545210601</v>
      </c>
      <c r="R169" s="63" t="s">
        <v>255</v>
      </c>
      <c r="S169" s="90" t="str">
        <f>IF(ISNA(VLOOKUP(Tabla1313[[#This Row],[Código Indra]],#REF!,1,FALSE)),"NO", "SI")</f>
        <v>SI</v>
      </c>
      <c r="T169" s="91"/>
      <c r="U169" t="s">
        <v>256</v>
      </c>
      <c r="V169" t="e">
        <f>VLOOKUP(Tabla1313[[#This Row],[Apoyo]],'LM SAP'!A:I,9,FALSE)</f>
        <v>#N/A</v>
      </c>
      <c r="W169" t="e">
        <f>VLOOKUP(Tabla1313[[#This Row],[Código Indra]],#REF!,1,FALSE)</f>
        <v>#REF!</v>
      </c>
    </row>
    <row r="170" spans="1:23" ht="30" x14ac:dyDescent="0.25">
      <c r="A170" s="64">
        <v>196</v>
      </c>
      <c r="B170" s="64" t="s">
        <v>753</v>
      </c>
      <c r="C170" s="75" t="s">
        <v>754</v>
      </c>
      <c r="D170" s="61" t="s">
        <v>651</v>
      </c>
      <c r="E170" s="75" t="s">
        <v>755</v>
      </c>
      <c r="F170" s="64">
        <v>1</v>
      </c>
      <c r="G170" s="61" t="s">
        <v>622</v>
      </c>
      <c r="H170" s="61" t="s">
        <v>275</v>
      </c>
      <c r="I170" s="61" t="s">
        <v>650</v>
      </c>
      <c r="J170" s="64" t="s">
        <v>474</v>
      </c>
      <c r="K170" s="213" t="s">
        <v>212</v>
      </c>
      <c r="L170" s="191"/>
      <c r="M170" s="192"/>
      <c r="N170" s="192"/>
      <c r="O170" s="247" t="s">
        <v>722</v>
      </c>
      <c r="P170" s="220" t="str">
        <f>IF(LEFT(B170,5)="09735",
    IF(ISNA(VLOOKUP(Tabla1313[[#This Row],[Apoyo]],'LM SAP'!A:G,1,FALSE)),
        "No Disponible",
        IF(VLOOKUP(Tabla1313[[#This Row],[Apoyo]],'LM SAP'!A:AD,9,FALSE)="RR",
            "Disponible",
            "Firmas SAP"
        )
    ),
    "CONSULTAR"
)</f>
        <v>No Disponible</v>
      </c>
      <c r="Q170" s="63" t="str">
        <f>MID(Tabla1313[[#This Row],[Código Indra]],1,13)</f>
        <v>0973545210701</v>
      </c>
      <c r="R170" s="63" t="s">
        <v>255</v>
      </c>
      <c r="S170" s="90" t="str">
        <f>IF(ISNA(VLOOKUP(Tabla1313[[#This Row],[Código Indra]],#REF!,1,FALSE)),"NO", "SI")</f>
        <v>SI</v>
      </c>
      <c r="T170" s="91"/>
      <c r="U170" t="s">
        <v>256</v>
      </c>
      <c r="V170" t="e">
        <f>VLOOKUP(Tabla1313[[#This Row],[Apoyo]],'LM SAP'!A:I,9,FALSE)</f>
        <v>#N/A</v>
      </c>
      <c r="W170" t="e">
        <f>VLOOKUP(Tabla1313[[#This Row],[Código Indra]],#REF!,1,FALSE)</f>
        <v>#REF!</v>
      </c>
    </row>
    <row r="171" spans="1:23" ht="30" x14ac:dyDescent="0.25">
      <c r="A171" s="64">
        <v>197</v>
      </c>
      <c r="B171" s="61" t="s">
        <v>756</v>
      </c>
      <c r="C171" s="76" t="s">
        <v>757</v>
      </c>
      <c r="D171" s="64" t="s">
        <v>651</v>
      </c>
      <c r="E171" s="76" t="s">
        <v>758</v>
      </c>
      <c r="F171" s="64">
        <v>1</v>
      </c>
      <c r="G171" s="61" t="s">
        <v>622</v>
      </c>
      <c r="H171" s="61" t="s">
        <v>275</v>
      </c>
      <c r="I171" s="64" t="s">
        <v>650</v>
      </c>
      <c r="J171" s="64" t="s">
        <v>474</v>
      </c>
      <c r="K171" s="213" t="s">
        <v>212</v>
      </c>
      <c r="L171" s="191"/>
      <c r="M171" s="192"/>
      <c r="N171" s="192"/>
      <c r="O171" s="247" t="s">
        <v>722</v>
      </c>
      <c r="P171" s="220" t="str">
        <f>IF(LEFT(B171,5)="09735",
    IF(ISNA(VLOOKUP(Tabla1313[[#This Row],[Apoyo]],'LM SAP'!A:G,1,FALSE)),
        "No Disponible",
        IF(VLOOKUP(Tabla1313[[#This Row],[Apoyo]],'LM SAP'!A:AD,9,FALSE)="RR",
            "Disponible",
            "Firmas SAP"
        )
    ),
    "CONSULTAR"
)</f>
        <v>No Disponible</v>
      </c>
      <c r="Q171" s="63" t="str">
        <f>MID(Tabla1313[[#This Row],[Código Indra]],1,13)</f>
        <v>0973545210801</v>
      </c>
      <c r="R171" s="63" t="s">
        <v>255</v>
      </c>
      <c r="S171" s="90" t="str">
        <f>IF(ISNA(VLOOKUP(Tabla1313[[#This Row],[Código Indra]],#REF!,1,FALSE)),"NO", "SI")</f>
        <v>SI</v>
      </c>
      <c r="T171" s="91"/>
      <c r="U171" t="s">
        <v>256</v>
      </c>
      <c r="V171" t="e">
        <f>VLOOKUP(Tabla1313[[#This Row],[Apoyo]],'LM SAP'!A:I,9,FALSE)</f>
        <v>#N/A</v>
      </c>
      <c r="W171" t="e">
        <f>VLOOKUP(Tabla1313[[#This Row],[Código Indra]],#REF!,1,FALSE)</f>
        <v>#REF!</v>
      </c>
    </row>
    <row r="172" spans="1:23" ht="30" x14ac:dyDescent="0.25">
      <c r="A172" s="64">
        <v>198</v>
      </c>
      <c r="B172" s="64" t="s">
        <v>759</v>
      </c>
      <c r="C172" s="75" t="s">
        <v>760</v>
      </c>
      <c r="D172" s="61" t="s">
        <v>651</v>
      </c>
      <c r="E172" s="75" t="s">
        <v>761</v>
      </c>
      <c r="F172" s="64">
        <v>1</v>
      </c>
      <c r="G172" s="61" t="s">
        <v>622</v>
      </c>
      <c r="H172" s="61" t="s">
        <v>275</v>
      </c>
      <c r="I172" s="61" t="s">
        <v>650</v>
      </c>
      <c r="J172" s="64" t="s">
        <v>474</v>
      </c>
      <c r="K172" s="213" t="s">
        <v>212</v>
      </c>
      <c r="L172" s="191"/>
      <c r="M172" s="192"/>
      <c r="N172" s="192"/>
      <c r="O172" s="247" t="s">
        <v>722</v>
      </c>
      <c r="P172" s="220" t="str">
        <f>IF(LEFT(B172,5)="09735",
    IF(ISNA(VLOOKUP(Tabla1313[[#This Row],[Apoyo]],'LM SAP'!A:G,1,FALSE)),
        "No Disponible",
        IF(VLOOKUP(Tabla1313[[#This Row],[Apoyo]],'LM SAP'!A:AD,9,FALSE)="RR",
            "Disponible",
            "Firmas SAP"
        )
    ),
    "CONSULTAR"
)</f>
        <v>No Disponible</v>
      </c>
      <c r="Q172" s="63" t="str">
        <f>MID(Tabla1313[[#This Row],[Código Indra]],1,13)</f>
        <v>0973545210901</v>
      </c>
      <c r="R172" s="63" t="s">
        <v>255</v>
      </c>
      <c r="S172" s="90" t="str">
        <f>IF(ISNA(VLOOKUP(Tabla1313[[#This Row],[Código Indra]],#REF!,1,FALSE)),"NO", "SI")</f>
        <v>SI</v>
      </c>
      <c r="T172" s="91"/>
      <c r="U172" t="s">
        <v>256</v>
      </c>
      <c r="V172" t="e">
        <f>VLOOKUP(Tabla1313[[#This Row],[Apoyo]],'LM SAP'!A:I,9,FALSE)</f>
        <v>#N/A</v>
      </c>
      <c r="W172" t="e">
        <f>VLOOKUP(Tabla1313[[#This Row],[Código Indra]],#REF!,1,FALSE)</f>
        <v>#REF!</v>
      </c>
    </row>
    <row r="173" spans="1:23" ht="30" x14ac:dyDescent="0.25">
      <c r="A173" s="64">
        <v>199</v>
      </c>
      <c r="B173" s="61" t="s">
        <v>762</v>
      </c>
      <c r="C173" s="76" t="s">
        <v>763</v>
      </c>
      <c r="D173" s="64" t="s">
        <v>651</v>
      </c>
      <c r="E173" s="76" t="s">
        <v>764</v>
      </c>
      <c r="F173" s="64">
        <v>1</v>
      </c>
      <c r="G173" s="61" t="s">
        <v>622</v>
      </c>
      <c r="H173" s="61" t="s">
        <v>275</v>
      </c>
      <c r="I173" s="64" t="s">
        <v>650</v>
      </c>
      <c r="J173" s="64" t="s">
        <v>474</v>
      </c>
      <c r="K173" s="213" t="s">
        <v>212</v>
      </c>
      <c r="L173" s="191"/>
      <c r="M173" s="192"/>
      <c r="N173" s="192"/>
      <c r="O173" s="247" t="s">
        <v>722</v>
      </c>
      <c r="P173" s="220" t="str">
        <f>IF(LEFT(B173,5)="09735",
    IF(ISNA(VLOOKUP(Tabla1313[[#This Row],[Apoyo]],'LM SAP'!A:G,1,FALSE)),
        "No Disponible",
        IF(VLOOKUP(Tabla1313[[#This Row],[Apoyo]],'LM SAP'!A:AD,9,FALSE)="RR",
            "Disponible",
            "Firmas SAP"
        )
    ),
    "CONSULTAR"
)</f>
        <v>No Disponible</v>
      </c>
      <c r="Q173" s="63" t="str">
        <f>MID(Tabla1313[[#This Row],[Código Indra]],1,13)</f>
        <v>0973545210902</v>
      </c>
      <c r="R173" s="63" t="s">
        <v>255</v>
      </c>
      <c r="S173" s="90" t="str">
        <f>IF(ISNA(VLOOKUP(Tabla1313[[#This Row],[Código Indra]],#REF!,1,FALSE)),"NO", "SI")</f>
        <v>SI</v>
      </c>
      <c r="T173" s="91"/>
      <c r="U173" t="s">
        <v>256</v>
      </c>
      <c r="V173" t="e">
        <f>VLOOKUP(Tabla1313[[#This Row],[Apoyo]],'LM SAP'!A:I,9,FALSE)</f>
        <v>#N/A</v>
      </c>
      <c r="W173" t="e">
        <f>VLOOKUP(Tabla1313[[#This Row],[Código Indra]],#REF!,1,FALSE)</f>
        <v>#REF!</v>
      </c>
    </row>
    <row r="174" spans="1:23" ht="30" x14ac:dyDescent="0.25">
      <c r="A174" s="64">
        <v>200</v>
      </c>
      <c r="B174" s="64" t="s">
        <v>765</v>
      </c>
      <c r="C174" s="75" t="s">
        <v>766</v>
      </c>
      <c r="D174" s="61" t="s">
        <v>651</v>
      </c>
      <c r="E174" s="75" t="s">
        <v>767</v>
      </c>
      <c r="F174" s="64">
        <v>1</v>
      </c>
      <c r="G174" s="61" t="s">
        <v>622</v>
      </c>
      <c r="H174" s="61" t="s">
        <v>275</v>
      </c>
      <c r="I174" s="61" t="s">
        <v>650</v>
      </c>
      <c r="J174" s="64" t="s">
        <v>474</v>
      </c>
      <c r="K174" s="213" t="s">
        <v>212</v>
      </c>
      <c r="L174" s="191"/>
      <c r="M174" s="192"/>
      <c r="N174" s="192"/>
      <c r="O174" s="247" t="s">
        <v>722</v>
      </c>
      <c r="P174" s="220" t="str">
        <f>IF(LEFT(B174,5)="09735",
    IF(ISNA(VLOOKUP(Tabla1313[[#This Row],[Apoyo]],'LM SAP'!A:G,1,FALSE)),
        "No Disponible",
        IF(VLOOKUP(Tabla1313[[#This Row],[Apoyo]],'LM SAP'!A:AD,9,FALSE)="RR",
            "Disponible",
            "Firmas SAP"
        )
    ),
    "CONSULTAR"
)</f>
        <v>No Disponible</v>
      </c>
      <c r="Q174" s="63" t="str">
        <f>MID(Tabla1313[[#This Row],[Código Indra]],1,13)</f>
        <v>0973545210903</v>
      </c>
      <c r="R174" s="63" t="s">
        <v>255</v>
      </c>
      <c r="S174" s="90" t="str">
        <f>IF(ISNA(VLOOKUP(Tabla1313[[#This Row],[Código Indra]],#REF!,1,FALSE)),"NO", "SI")</f>
        <v>SI</v>
      </c>
      <c r="T174" s="91"/>
      <c r="U174" t="s">
        <v>256</v>
      </c>
      <c r="V174" t="e">
        <f>VLOOKUP(Tabla1313[[#This Row],[Apoyo]],'LM SAP'!A:I,9,FALSE)</f>
        <v>#N/A</v>
      </c>
      <c r="W174" t="e">
        <f>VLOOKUP(Tabla1313[[#This Row],[Código Indra]],#REF!,1,FALSE)</f>
        <v>#REF!</v>
      </c>
    </row>
    <row r="175" spans="1:23" ht="30" x14ac:dyDescent="0.25">
      <c r="A175" s="64">
        <v>201</v>
      </c>
      <c r="B175" s="61" t="s">
        <v>768</v>
      </c>
      <c r="C175" s="76" t="s">
        <v>769</v>
      </c>
      <c r="D175" s="64" t="s">
        <v>106</v>
      </c>
      <c r="E175" s="76" t="s">
        <v>770</v>
      </c>
      <c r="F175" s="64">
        <v>1</v>
      </c>
      <c r="G175" s="61" t="s">
        <v>260</v>
      </c>
      <c r="H175" s="61" t="s">
        <v>261</v>
      </c>
      <c r="I175" s="64" t="s">
        <v>650</v>
      </c>
      <c r="J175" s="64" t="s">
        <v>474</v>
      </c>
      <c r="K175" s="213" t="s">
        <v>212</v>
      </c>
      <c r="L175" s="191"/>
      <c r="M175" s="192"/>
      <c r="N175" s="192"/>
      <c r="O175" s="257"/>
      <c r="P175" s="220" t="str">
        <f>IF(LEFT(B175,5)="09735",
    IF(ISNA(VLOOKUP(Tabla1313[[#This Row],[Apoyo]],'LM SAP'!A:G,1,FALSE)),
        "No Disponible",
        IF(VLOOKUP(Tabla1313[[#This Row],[Apoyo]],'LM SAP'!A:AD,9,FALSE)="RR",
            "Disponible",
            "Firmas SAP"
        )
    ),
    "CONSULTAR"
)</f>
        <v>No Disponible</v>
      </c>
      <c r="Q175" s="63" t="str">
        <f>MID(Tabla1313[[#This Row],[Código Indra]],1,13)</f>
        <v>0973545030101</v>
      </c>
      <c r="R175" s="63" t="s">
        <v>255</v>
      </c>
      <c r="S175" s="90" t="str">
        <f>IF(ISNA(VLOOKUP(Tabla1313[[#This Row],[Código Indra]],#REF!,1,FALSE)),"NO", "SI")</f>
        <v>SI</v>
      </c>
      <c r="T175" s="91"/>
      <c r="U175" t="s">
        <v>256</v>
      </c>
      <c r="V175" t="e">
        <f>VLOOKUP(Tabla1313[[#This Row],[Apoyo]],'LM SAP'!A:I,9,FALSE)</f>
        <v>#N/A</v>
      </c>
      <c r="W175" t="e">
        <f>VLOOKUP(Tabla1313[[#This Row],[Código Indra]],#REF!,1,FALSE)</f>
        <v>#REF!</v>
      </c>
    </row>
    <row r="176" spans="1:23" ht="30" x14ac:dyDescent="0.25">
      <c r="A176" s="64">
        <v>202</v>
      </c>
      <c r="B176" s="64" t="s">
        <v>771</v>
      </c>
      <c r="C176" s="75" t="s">
        <v>772</v>
      </c>
      <c r="D176" s="61" t="s">
        <v>106</v>
      </c>
      <c r="E176" s="75" t="s">
        <v>773</v>
      </c>
      <c r="F176" s="64">
        <v>1</v>
      </c>
      <c r="G176" s="61" t="s">
        <v>260</v>
      </c>
      <c r="H176" s="61" t="s">
        <v>261</v>
      </c>
      <c r="I176" s="61" t="s">
        <v>650</v>
      </c>
      <c r="J176" s="64" t="s">
        <v>474</v>
      </c>
      <c r="K176" s="213" t="s">
        <v>212</v>
      </c>
      <c r="L176" s="191"/>
      <c r="M176" s="192"/>
      <c r="N176" s="192"/>
      <c r="O176" s="261"/>
      <c r="P176" s="220" t="str">
        <f>IF(LEFT(B176,5)="09735",
    IF(ISNA(VLOOKUP(Tabla1313[[#This Row],[Apoyo]],'LM SAP'!A:G,1,FALSE)),
        "No Disponible",
        IF(VLOOKUP(Tabla1313[[#This Row],[Apoyo]],'LM SAP'!A:AD,9,FALSE)="RR",
            "Disponible",
            "Firmas SAP"
        )
    ),
    "CONSULTAR"
)</f>
        <v>No Disponible</v>
      </c>
      <c r="Q176" s="63" t="str">
        <f>MID(Tabla1313[[#This Row],[Código Indra]],1,13)</f>
        <v>0973545030201</v>
      </c>
      <c r="R176" s="63" t="s">
        <v>255</v>
      </c>
      <c r="S176" s="90" t="str">
        <f>IF(ISNA(VLOOKUP(Tabla1313[[#This Row],[Código Indra]],#REF!,1,FALSE)),"NO", "SI")</f>
        <v>SI</v>
      </c>
      <c r="T176" s="91"/>
      <c r="U176" t="s">
        <v>256</v>
      </c>
      <c r="V176" t="e">
        <f>VLOOKUP(Tabla1313[[#This Row],[Apoyo]],'LM SAP'!A:I,9,FALSE)</f>
        <v>#N/A</v>
      </c>
      <c r="W176" t="e">
        <f>VLOOKUP(Tabla1313[[#This Row],[Código Indra]],#REF!,1,FALSE)</f>
        <v>#REF!</v>
      </c>
    </row>
    <row r="177" spans="1:23" ht="30" x14ac:dyDescent="0.25">
      <c r="A177" s="64">
        <v>203</v>
      </c>
      <c r="B177" s="61" t="s">
        <v>774</v>
      </c>
      <c r="C177" s="76" t="s">
        <v>775</v>
      </c>
      <c r="D177" s="64" t="s">
        <v>106</v>
      </c>
      <c r="E177" s="76" t="s">
        <v>776</v>
      </c>
      <c r="F177" s="64">
        <v>1</v>
      </c>
      <c r="G177" s="61" t="s">
        <v>260</v>
      </c>
      <c r="H177" s="61" t="s">
        <v>261</v>
      </c>
      <c r="I177" s="64" t="s">
        <v>650</v>
      </c>
      <c r="J177" s="64" t="s">
        <v>474</v>
      </c>
      <c r="K177" s="213" t="s">
        <v>212</v>
      </c>
      <c r="L177" s="191"/>
      <c r="M177" s="192"/>
      <c r="N177" s="192"/>
      <c r="O177" s="257"/>
      <c r="P177" s="220" t="str">
        <f>IF(LEFT(B177,5)="09735",
    IF(ISNA(VLOOKUP(Tabla1313[[#This Row],[Apoyo]],'LM SAP'!A:G,1,FALSE)),
        "No Disponible",
        IF(VLOOKUP(Tabla1313[[#This Row],[Apoyo]],'LM SAP'!A:AD,9,FALSE)="RR",
            "Disponible",
            "Firmas SAP"
        )
    ),
    "CONSULTAR"
)</f>
        <v>No Disponible</v>
      </c>
      <c r="Q177" s="65" t="str">
        <f>MID(Tabla1313[[#This Row],[Código Indra]],1,13)</f>
        <v>0973545030301</v>
      </c>
      <c r="R177" s="63" t="s">
        <v>255</v>
      </c>
      <c r="S177" s="90" t="str">
        <f>IF(ISNA(VLOOKUP(Tabla1313[[#This Row],[Código Indra]],#REF!,1,FALSE)),"NO", "SI")</f>
        <v>SI</v>
      </c>
      <c r="T177" s="91"/>
      <c r="U177" t="s">
        <v>256</v>
      </c>
      <c r="V177" t="e">
        <f>VLOOKUP(Tabla1313[[#This Row],[Apoyo]],'LM SAP'!A:I,9,FALSE)</f>
        <v>#N/A</v>
      </c>
      <c r="W177" t="e">
        <f>VLOOKUP(Tabla1313[[#This Row],[Código Indra]],#REF!,1,FALSE)</f>
        <v>#REF!</v>
      </c>
    </row>
    <row r="178" spans="1:23" ht="30" x14ac:dyDescent="0.25">
      <c r="A178" s="64">
        <v>204</v>
      </c>
      <c r="B178" s="64" t="s">
        <v>777</v>
      </c>
      <c r="C178" s="75" t="s">
        <v>778</v>
      </c>
      <c r="D178" s="61" t="s">
        <v>106</v>
      </c>
      <c r="E178" s="75" t="s">
        <v>779</v>
      </c>
      <c r="F178" s="64">
        <v>1</v>
      </c>
      <c r="G178" s="61" t="s">
        <v>260</v>
      </c>
      <c r="H178" s="61" t="s">
        <v>261</v>
      </c>
      <c r="I178" s="61" t="s">
        <v>650</v>
      </c>
      <c r="J178" s="64" t="s">
        <v>474</v>
      </c>
      <c r="K178" s="213" t="s">
        <v>212</v>
      </c>
      <c r="L178" s="191"/>
      <c r="M178" s="192"/>
      <c r="N178" s="192"/>
      <c r="O178" s="262"/>
      <c r="P178" s="220" t="str">
        <f>IF(LEFT(B178,5)="09735",
    IF(ISNA(VLOOKUP(Tabla1313[[#This Row],[Apoyo]],'LM SAP'!A:G,1,FALSE)),
        "No Disponible",
        IF(VLOOKUP(Tabla1313[[#This Row],[Apoyo]],'LM SAP'!A:AD,9,FALSE)="RR",
            "Disponible",
            "Firmas SAP"
        )
    ),
    "CONSULTAR"
)</f>
        <v>No Disponible</v>
      </c>
      <c r="Q178" s="63" t="str">
        <f>MID(Tabla1313[[#This Row],[Código Indra]],1,13)</f>
        <v>0973545030401</v>
      </c>
      <c r="R178" s="63" t="s">
        <v>255</v>
      </c>
      <c r="S178" s="90" t="str">
        <f>IF(ISNA(VLOOKUP(Tabla1313[[#This Row],[Código Indra]],#REF!,1,FALSE)),"NO", "SI")</f>
        <v>SI</v>
      </c>
      <c r="T178" s="91"/>
      <c r="U178" t="s">
        <v>256</v>
      </c>
      <c r="V178" t="e">
        <f>VLOOKUP(Tabla1313[[#This Row],[Apoyo]],'LM SAP'!A:I,9,FALSE)</f>
        <v>#N/A</v>
      </c>
      <c r="W178" t="e">
        <f>VLOOKUP(Tabla1313[[#This Row],[Código Indra]],#REF!,1,FALSE)</f>
        <v>#REF!</v>
      </c>
    </row>
    <row r="179" spans="1:23" ht="30" x14ac:dyDescent="0.25">
      <c r="A179" s="64">
        <v>205</v>
      </c>
      <c r="B179" s="61" t="s">
        <v>780</v>
      </c>
      <c r="C179" s="76" t="s">
        <v>781</v>
      </c>
      <c r="D179" s="64" t="s">
        <v>106</v>
      </c>
      <c r="E179" s="76" t="s">
        <v>782</v>
      </c>
      <c r="F179" s="64">
        <v>1</v>
      </c>
      <c r="G179" s="61" t="s">
        <v>260</v>
      </c>
      <c r="H179" s="61" t="s">
        <v>261</v>
      </c>
      <c r="I179" s="64" t="s">
        <v>650</v>
      </c>
      <c r="J179" s="64" t="s">
        <v>474</v>
      </c>
      <c r="K179" s="213" t="s">
        <v>212</v>
      </c>
      <c r="L179" s="191"/>
      <c r="M179" s="192"/>
      <c r="N179" s="192"/>
      <c r="O179" s="247"/>
      <c r="P179" s="220" t="str">
        <f>IF(LEFT(B179,5)="09735",
    IF(ISNA(VLOOKUP(Tabla1313[[#This Row],[Apoyo]],'LM SAP'!A:G,1,FALSE)),
        "No Disponible",
        IF(VLOOKUP(Tabla1313[[#This Row],[Apoyo]],'LM SAP'!A:AD,9,FALSE)="RR",
            "Disponible",
            "Firmas SAP"
        )
    ),
    "CONSULTAR"
)</f>
        <v>No Disponible</v>
      </c>
      <c r="Q179" s="63" t="str">
        <f>MID(Tabla1313[[#This Row],[Código Indra]],1,13)</f>
        <v>0973545030402</v>
      </c>
      <c r="R179" s="63" t="s">
        <v>255</v>
      </c>
      <c r="S179" s="90" t="str">
        <f>IF(ISNA(VLOOKUP(Tabla1313[[#This Row],[Código Indra]],#REF!,1,FALSE)),"NO", "SI")</f>
        <v>SI</v>
      </c>
      <c r="T179" s="91"/>
      <c r="U179" t="s">
        <v>256</v>
      </c>
      <c r="V179" t="e">
        <f>VLOOKUP(Tabla1313[[#This Row],[Apoyo]],'LM SAP'!A:I,9,FALSE)</f>
        <v>#N/A</v>
      </c>
      <c r="W179" t="e">
        <f>VLOOKUP(Tabla1313[[#This Row],[Código Indra]],#REF!,1,FALSE)</f>
        <v>#REF!</v>
      </c>
    </row>
    <row r="180" spans="1:23" ht="30" x14ac:dyDescent="0.25">
      <c r="A180" s="64">
        <v>206</v>
      </c>
      <c r="B180" s="64" t="s">
        <v>783</v>
      </c>
      <c r="C180" s="75" t="s">
        <v>784</v>
      </c>
      <c r="D180" s="61" t="s">
        <v>106</v>
      </c>
      <c r="E180" s="75" t="s">
        <v>785</v>
      </c>
      <c r="F180" s="64">
        <v>1</v>
      </c>
      <c r="G180" s="61" t="s">
        <v>260</v>
      </c>
      <c r="H180" s="61" t="s">
        <v>261</v>
      </c>
      <c r="I180" s="61" t="s">
        <v>650</v>
      </c>
      <c r="J180" s="64" t="s">
        <v>474</v>
      </c>
      <c r="K180" s="213" t="s">
        <v>212</v>
      </c>
      <c r="L180" s="191"/>
      <c r="M180" s="192"/>
      <c r="N180" s="192"/>
      <c r="O180" s="260"/>
      <c r="P180" s="220" t="str">
        <f>IF(LEFT(B180,5)="09735",
    IF(ISNA(VLOOKUP(Tabla1313[[#This Row],[Apoyo]],'LM SAP'!A:G,1,FALSE)),
        "No Disponible",
        IF(VLOOKUP(Tabla1313[[#This Row],[Apoyo]],'LM SAP'!A:AD,9,FALSE)="RR",
            "Disponible",
            "Firmas SAP"
        )
    ),
    "CONSULTAR"
)</f>
        <v>No Disponible</v>
      </c>
      <c r="Q180" s="63" t="str">
        <f>MID(Tabla1313[[#This Row],[Código Indra]],1,13)</f>
        <v>0973545030403</v>
      </c>
      <c r="R180" s="63" t="s">
        <v>255</v>
      </c>
      <c r="S180" s="90" t="str">
        <f>IF(ISNA(VLOOKUP(Tabla1313[[#This Row],[Código Indra]],#REF!,1,FALSE)),"NO", "SI")</f>
        <v>SI</v>
      </c>
      <c r="T180" s="91"/>
      <c r="U180" t="s">
        <v>256</v>
      </c>
      <c r="V180" t="e">
        <f>VLOOKUP(Tabla1313[[#This Row],[Apoyo]],'LM SAP'!A:I,9,FALSE)</f>
        <v>#N/A</v>
      </c>
      <c r="W180" t="e">
        <f>VLOOKUP(Tabla1313[[#This Row],[Código Indra]],#REF!,1,FALSE)</f>
        <v>#REF!</v>
      </c>
    </row>
    <row r="181" spans="1:23" ht="30" x14ac:dyDescent="0.25">
      <c r="A181" s="64">
        <v>207</v>
      </c>
      <c r="B181" s="61" t="s">
        <v>786</v>
      </c>
      <c r="C181" s="76" t="s">
        <v>787</v>
      </c>
      <c r="D181" s="64" t="s">
        <v>106</v>
      </c>
      <c r="E181" s="76" t="s">
        <v>788</v>
      </c>
      <c r="F181" s="64">
        <v>1</v>
      </c>
      <c r="G181" s="61" t="s">
        <v>260</v>
      </c>
      <c r="H181" s="61" t="s">
        <v>261</v>
      </c>
      <c r="I181" s="64" t="s">
        <v>650</v>
      </c>
      <c r="J181" s="64" t="s">
        <v>474</v>
      </c>
      <c r="K181" s="213" t="s">
        <v>212</v>
      </c>
      <c r="L181" s="191"/>
      <c r="M181" s="192"/>
      <c r="N181" s="192"/>
      <c r="O181" s="247"/>
      <c r="P181" s="220" t="str">
        <f>IF(LEFT(B181,5)="09735",
    IF(ISNA(VLOOKUP(Tabla1313[[#This Row],[Apoyo]],'LM SAP'!A:G,1,FALSE)),
        "No Disponible",
        IF(VLOOKUP(Tabla1313[[#This Row],[Apoyo]],'LM SAP'!A:AD,9,FALSE)="RR",
            "Disponible",
            "Firmas SAP"
        )
    ),
    "CONSULTAR"
)</f>
        <v>No Disponible</v>
      </c>
      <c r="Q181" s="63" t="str">
        <f>MID(Tabla1313[[#This Row],[Código Indra]],1,13)</f>
        <v>0973545030404</v>
      </c>
      <c r="R181" s="63" t="s">
        <v>255</v>
      </c>
      <c r="S181" s="90" t="str">
        <f>IF(ISNA(VLOOKUP(Tabla1313[[#This Row],[Código Indra]],#REF!,1,FALSE)),"NO", "SI")</f>
        <v>SI</v>
      </c>
      <c r="T181" s="91"/>
      <c r="U181" t="s">
        <v>256</v>
      </c>
      <c r="V181" t="e">
        <f>VLOOKUP(Tabla1313[[#This Row],[Apoyo]],'LM SAP'!A:I,9,FALSE)</f>
        <v>#N/A</v>
      </c>
      <c r="W181" t="e">
        <f>VLOOKUP(Tabla1313[[#This Row],[Código Indra]],#REF!,1,FALSE)</f>
        <v>#REF!</v>
      </c>
    </row>
    <row r="182" spans="1:23" ht="30" x14ac:dyDescent="0.25">
      <c r="A182" s="64">
        <v>208</v>
      </c>
      <c r="B182" s="64" t="s">
        <v>789</v>
      </c>
      <c r="C182" s="75" t="s">
        <v>790</v>
      </c>
      <c r="D182" s="61" t="s">
        <v>106</v>
      </c>
      <c r="E182" s="75" t="s">
        <v>791</v>
      </c>
      <c r="F182" s="64">
        <v>1</v>
      </c>
      <c r="G182" s="61" t="s">
        <v>260</v>
      </c>
      <c r="H182" s="61" t="s">
        <v>261</v>
      </c>
      <c r="I182" s="61" t="s">
        <v>650</v>
      </c>
      <c r="J182" s="64" t="s">
        <v>474</v>
      </c>
      <c r="K182" s="213" t="s">
        <v>212</v>
      </c>
      <c r="L182" s="191"/>
      <c r="M182" s="192"/>
      <c r="N182" s="192"/>
      <c r="O182" s="260"/>
      <c r="P182" s="263" t="str">
        <f>IF(LEFT(B182,5)="09735",
    IF(ISNA(VLOOKUP(Tabla1313[[#This Row],[Apoyo]],'LM SAP'!A:G,1,FALSE)),
        "No Disponible",
        IF(VLOOKUP(Tabla1313[[#This Row],[Apoyo]],'LM SAP'!A:AD,9,FALSE)="RR",
            "Disponible",
            "Firmas SAP"
        )
    ),
    "CONSULTAR"
)</f>
        <v>No Disponible</v>
      </c>
      <c r="Q182" s="65" t="str">
        <f>MID(Tabla1313[[#This Row],[Código Indra]],1,13)</f>
        <v>0973545030405</v>
      </c>
      <c r="R182" s="63" t="s">
        <v>255</v>
      </c>
      <c r="S182" s="90" t="str">
        <f>IF(ISNA(VLOOKUP(Tabla1313[[#This Row],[Código Indra]],#REF!,1,FALSE)),"NO", "SI")</f>
        <v>SI</v>
      </c>
      <c r="T182" s="91"/>
      <c r="U182" t="s">
        <v>256</v>
      </c>
      <c r="V182" t="e">
        <f>VLOOKUP(Tabla1313[[#This Row],[Apoyo]],'LM SAP'!A:I,9,FALSE)</f>
        <v>#N/A</v>
      </c>
      <c r="W182" t="e">
        <f>VLOOKUP(Tabla1313[[#This Row],[Código Indra]],#REF!,1,FALSE)</f>
        <v>#REF!</v>
      </c>
    </row>
    <row r="183" spans="1:23" ht="30" x14ac:dyDescent="0.25">
      <c r="A183" s="64">
        <v>209</v>
      </c>
      <c r="B183" s="61" t="s">
        <v>792</v>
      </c>
      <c r="C183" s="76" t="s">
        <v>793</v>
      </c>
      <c r="D183" s="64" t="s">
        <v>106</v>
      </c>
      <c r="E183" s="76" t="s">
        <v>794</v>
      </c>
      <c r="F183" s="64">
        <v>1</v>
      </c>
      <c r="G183" s="61" t="s">
        <v>260</v>
      </c>
      <c r="H183" s="61" t="s">
        <v>261</v>
      </c>
      <c r="I183" s="64" t="s">
        <v>650</v>
      </c>
      <c r="J183" s="64" t="s">
        <v>474</v>
      </c>
      <c r="K183" s="213" t="s">
        <v>212</v>
      </c>
      <c r="L183" s="191"/>
      <c r="M183" s="192"/>
      <c r="N183" s="192"/>
      <c r="O183" s="247"/>
      <c r="P183" s="220" t="str">
        <f>IF(LEFT(B183,5)="09735",
    IF(ISNA(VLOOKUP(Tabla1313[[#This Row],[Apoyo]],'LM SAP'!A:G,1,FALSE)),
        "No Disponible",
        IF(VLOOKUP(Tabla1313[[#This Row],[Apoyo]],'LM SAP'!A:AD,9,FALSE)="RR",
            "Disponible",
            "Firmas SAP"
        )
    ),
    "CONSULTAR"
)</f>
        <v>No Disponible</v>
      </c>
      <c r="Q183" s="63" t="str">
        <f>MID(Tabla1313[[#This Row],[Código Indra]],1,13)</f>
        <v>0973545030406</v>
      </c>
      <c r="R183" s="63" t="s">
        <v>255</v>
      </c>
      <c r="S183" s="90" t="str">
        <f>IF(ISNA(VLOOKUP(Tabla1313[[#This Row],[Código Indra]],#REF!,1,FALSE)),"NO", "SI")</f>
        <v>SI</v>
      </c>
      <c r="T183" s="91"/>
      <c r="U183" t="s">
        <v>256</v>
      </c>
      <c r="V183" t="e">
        <f>VLOOKUP(Tabla1313[[#This Row],[Apoyo]],'LM SAP'!A:I,9,FALSE)</f>
        <v>#N/A</v>
      </c>
      <c r="W183" t="e">
        <f>VLOOKUP(Tabla1313[[#This Row],[Código Indra]],#REF!,1,FALSE)</f>
        <v>#REF!</v>
      </c>
    </row>
    <row r="184" spans="1:23" ht="30" x14ac:dyDescent="0.25">
      <c r="A184" s="64">
        <v>210</v>
      </c>
      <c r="B184" s="64" t="s">
        <v>795</v>
      </c>
      <c r="C184" s="75" t="s">
        <v>796</v>
      </c>
      <c r="D184" s="61" t="s">
        <v>106</v>
      </c>
      <c r="E184" s="75" t="s">
        <v>797</v>
      </c>
      <c r="F184" s="64">
        <v>1</v>
      </c>
      <c r="G184" s="61" t="s">
        <v>260</v>
      </c>
      <c r="H184" s="61" t="s">
        <v>261</v>
      </c>
      <c r="I184" s="61" t="s">
        <v>650</v>
      </c>
      <c r="J184" s="64" t="s">
        <v>474</v>
      </c>
      <c r="K184" s="213" t="s">
        <v>212</v>
      </c>
      <c r="L184" s="191"/>
      <c r="M184" s="192"/>
      <c r="N184" s="192"/>
      <c r="O184" s="260"/>
      <c r="P184" s="220" t="str">
        <f>IF(LEFT(B184,5)="09735",
    IF(ISNA(VLOOKUP(Tabla1313[[#This Row],[Apoyo]],'LM SAP'!A:G,1,FALSE)),
        "No Disponible",
        IF(VLOOKUP(Tabla1313[[#This Row],[Apoyo]],'LM SAP'!A:AD,9,FALSE)="RR",
            "Disponible",
            "Firmas SAP"
        )
    ),
    "CONSULTAR"
)</f>
        <v>No Disponible</v>
      </c>
      <c r="Q184" s="63" t="str">
        <f>MID(Tabla1313[[#This Row],[Código Indra]],1,13)</f>
        <v>0973545030407</v>
      </c>
      <c r="R184" s="63" t="s">
        <v>255</v>
      </c>
      <c r="S184" s="90" t="str">
        <f>IF(ISNA(VLOOKUP(Tabla1313[[#This Row],[Código Indra]],#REF!,1,FALSE)),"NO", "SI")</f>
        <v>SI</v>
      </c>
      <c r="T184" s="91"/>
      <c r="U184" t="s">
        <v>256</v>
      </c>
      <c r="V184" t="e">
        <f>VLOOKUP(Tabla1313[[#This Row],[Apoyo]],'LM SAP'!A:I,9,FALSE)</f>
        <v>#N/A</v>
      </c>
      <c r="W184" t="e">
        <f>VLOOKUP(Tabla1313[[#This Row],[Código Indra]],#REF!,1,FALSE)</f>
        <v>#REF!</v>
      </c>
    </row>
    <row r="185" spans="1:23" ht="30" x14ac:dyDescent="0.25">
      <c r="A185" s="64">
        <v>211</v>
      </c>
      <c r="B185" s="61" t="s">
        <v>798</v>
      </c>
      <c r="C185" s="76" t="s">
        <v>799</v>
      </c>
      <c r="D185" s="64" t="s">
        <v>106</v>
      </c>
      <c r="E185" s="76" t="s">
        <v>800</v>
      </c>
      <c r="F185" s="64">
        <v>1</v>
      </c>
      <c r="G185" s="61" t="s">
        <v>260</v>
      </c>
      <c r="H185" s="61" t="s">
        <v>261</v>
      </c>
      <c r="I185" s="64" t="s">
        <v>650</v>
      </c>
      <c r="J185" s="64" t="s">
        <v>474</v>
      </c>
      <c r="K185" s="213" t="s">
        <v>212</v>
      </c>
      <c r="L185" s="191"/>
      <c r="M185" s="192"/>
      <c r="N185" s="192"/>
      <c r="O185" s="247"/>
      <c r="P185" s="220" t="str">
        <f>IF(LEFT(B185,5)="09735",
    IF(ISNA(VLOOKUP(Tabla1313[[#This Row],[Apoyo]],'LM SAP'!A:G,1,FALSE)),
        "No Disponible",
        IF(VLOOKUP(Tabla1313[[#This Row],[Apoyo]],'LM SAP'!A:AD,9,FALSE)="RR",
            "Disponible",
            "Firmas SAP"
        )
    ),
    "CONSULTAR"
)</f>
        <v>No Disponible</v>
      </c>
      <c r="Q185" s="63" t="str">
        <f>MID(Tabla1313[[#This Row],[Código Indra]],1,13)</f>
        <v>0973545031101</v>
      </c>
      <c r="R185" s="63" t="s">
        <v>255</v>
      </c>
      <c r="S185" s="90" t="str">
        <f>IF(ISNA(VLOOKUP(Tabla1313[[#This Row],[Código Indra]],#REF!,1,FALSE)),"NO", "SI")</f>
        <v>SI</v>
      </c>
      <c r="T185" s="91"/>
      <c r="U185" t="s">
        <v>256</v>
      </c>
      <c r="V185" t="e">
        <f>VLOOKUP(Tabla1313[[#This Row],[Apoyo]],'LM SAP'!A:I,9,FALSE)</f>
        <v>#N/A</v>
      </c>
      <c r="W185" t="e">
        <f>VLOOKUP(Tabla1313[[#This Row],[Código Indra]],#REF!,1,FALSE)</f>
        <v>#REF!</v>
      </c>
    </row>
    <row r="186" spans="1:23" ht="30" x14ac:dyDescent="0.25">
      <c r="A186" s="64">
        <v>212</v>
      </c>
      <c r="B186" s="64" t="s">
        <v>801</v>
      </c>
      <c r="C186" s="75" t="s">
        <v>802</v>
      </c>
      <c r="D186" s="61" t="s">
        <v>106</v>
      </c>
      <c r="E186" s="75" t="s">
        <v>803</v>
      </c>
      <c r="F186" s="64">
        <v>1</v>
      </c>
      <c r="G186" s="61" t="s">
        <v>260</v>
      </c>
      <c r="H186" s="61" t="s">
        <v>261</v>
      </c>
      <c r="I186" s="61" t="s">
        <v>650</v>
      </c>
      <c r="J186" s="64" t="s">
        <v>474</v>
      </c>
      <c r="K186" s="213" t="s">
        <v>212</v>
      </c>
      <c r="L186" s="191"/>
      <c r="M186" s="192"/>
      <c r="N186" s="192"/>
      <c r="O186" s="260"/>
      <c r="P186" s="220" t="str">
        <f>IF(LEFT(B186,5)="09735",
    IF(ISNA(VLOOKUP(Tabla1313[[#This Row],[Apoyo]],'LM SAP'!A:G,1,FALSE)),
        "No Disponible",
        IF(VLOOKUP(Tabla1313[[#This Row],[Apoyo]],'LM SAP'!A:AD,9,FALSE)="RR",
            "Disponible",
            "Firmas SAP"
        )
    ),
    "CONSULTAR"
)</f>
        <v>No Disponible</v>
      </c>
      <c r="Q186" s="63" t="str">
        <f>MID(Tabla1313[[#This Row],[Código Indra]],1,13)</f>
        <v>0973545031102</v>
      </c>
      <c r="R186" s="63" t="s">
        <v>255</v>
      </c>
      <c r="S186" s="90" t="str">
        <f>IF(ISNA(VLOOKUP(Tabla1313[[#This Row],[Código Indra]],#REF!,1,FALSE)),"NO", "SI")</f>
        <v>SI</v>
      </c>
      <c r="T186" s="91"/>
      <c r="U186" t="s">
        <v>256</v>
      </c>
      <c r="V186" t="e">
        <f>VLOOKUP(Tabla1313[[#This Row],[Apoyo]],'LM SAP'!A:I,9,FALSE)</f>
        <v>#N/A</v>
      </c>
      <c r="W186" t="e">
        <f>VLOOKUP(Tabla1313[[#This Row],[Código Indra]],#REF!,1,FALSE)</f>
        <v>#REF!</v>
      </c>
    </row>
    <row r="187" spans="1:23" ht="30" x14ac:dyDescent="0.25">
      <c r="A187" s="64">
        <v>217</v>
      </c>
      <c r="B187" s="61" t="s">
        <v>804</v>
      </c>
      <c r="C187" s="76" t="s">
        <v>805</v>
      </c>
      <c r="D187" s="64"/>
      <c r="E187" s="76" t="s">
        <v>806</v>
      </c>
      <c r="F187" s="64"/>
      <c r="G187" s="61" t="s">
        <v>260</v>
      </c>
      <c r="H187" s="61" t="s">
        <v>261</v>
      </c>
      <c r="I187" s="64" t="s">
        <v>321</v>
      </c>
      <c r="J187" s="64"/>
      <c r="K187" s="213" t="s">
        <v>219</v>
      </c>
      <c r="L187" s="222">
        <v>60004728</v>
      </c>
      <c r="M187" s="223">
        <v>45595</v>
      </c>
      <c r="N187" s="223">
        <v>45635</v>
      </c>
      <c r="O187" s="240" t="s">
        <v>281</v>
      </c>
      <c r="P187" s="220" t="str">
        <f>IF(LEFT(B187,5)="09735",
    IF(ISNA(VLOOKUP(Tabla1313[[#This Row],[Apoyo]],'LM SAP'!A:G,1,FALSE)),
        "No Disponible",
        IF(VLOOKUP(Tabla1313[[#This Row],[Apoyo]],'LM SAP'!A:AD,9,FALSE)="RR",
            "Disponible",
            "Firmas SAP"
        )
    ),
    "CONSULTAR"
)</f>
        <v>No Disponible</v>
      </c>
      <c r="Q187" s="63" t="str">
        <f>MID(Tabla1313[[#This Row],[Código Indra]],1,13)</f>
        <v>0973545040000</v>
      </c>
      <c r="R187" s="63" t="s">
        <v>255</v>
      </c>
      <c r="S187" s="90" t="str">
        <f>IF(ISNA(VLOOKUP(Tabla1313[[#This Row],[Código Indra]],#REF!,1,FALSE)),"NO", "SI")</f>
        <v>SI</v>
      </c>
      <c r="T187" s="91"/>
      <c r="U187" t="s">
        <v>256</v>
      </c>
      <c r="V187" t="e">
        <f>VLOOKUP(Tabla1313[[#This Row],[Apoyo]],'LM SAP'!A:I,9,FALSE)</f>
        <v>#N/A</v>
      </c>
      <c r="W187" t="e">
        <f>VLOOKUP(Tabla1313[[#This Row],[Código Indra]],#REF!,1,FALSE)</f>
        <v>#REF!</v>
      </c>
    </row>
    <row r="188" spans="1:23" ht="30" x14ac:dyDescent="0.25">
      <c r="A188" s="64">
        <v>218</v>
      </c>
      <c r="B188" s="64" t="s">
        <v>807</v>
      </c>
      <c r="C188" s="75" t="s">
        <v>808</v>
      </c>
      <c r="D188" s="64"/>
      <c r="E188" s="75" t="s">
        <v>809</v>
      </c>
      <c r="F188" s="64"/>
      <c r="G188" s="61" t="s">
        <v>260</v>
      </c>
      <c r="H188" s="61" t="s">
        <v>261</v>
      </c>
      <c r="I188" s="61" t="s">
        <v>276</v>
      </c>
      <c r="J188" s="64" t="s">
        <v>474</v>
      </c>
      <c r="K188" s="213" t="s">
        <v>215</v>
      </c>
      <c r="L188" s="222">
        <v>60004729</v>
      </c>
      <c r="M188" s="223">
        <v>45595</v>
      </c>
      <c r="N188" s="192"/>
      <c r="O188" s="264" t="s">
        <v>595</v>
      </c>
      <c r="P188" s="220" t="str">
        <f>IF(LEFT(B188,5)="09735",
    IF(ISNA(VLOOKUP(Tabla1313[[#This Row],[Apoyo]],'LM SAP'!A:G,1,FALSE)),
        "No Disponible",
        IF(VLOOKUP(Tabla1313[[#This Row],[Apoyo]],'LM SAP'!A:AD,9,FALSE)="RR",
            "Disponible",
            "Firmas SAP"
        )
    ),
    "CONSULTAR"
)</f>
        <v>No Disponible</v>
      </c>
      <c r="Q188" s="63" t="str">
        <f>MID(Tabla1313[[#This Row],[Código Indra]],1,13)</f>
        <v>0973545040100</v>
      </c>
      <c r="R188" s="63" t="s">
        <v>255</v>
      </c>
      <c r="S188" s="90" t="str">
        <f>IF(ISNA(VLOOKUP(Tabla1313[[#This Row],[Código Indra]],#REF!,1,FALSE)),"NO", "SI")</f>
        <v>SI</v>
      </c>
      <c r="T188" s="91"/>
      <c r="U188" t="s">
        <v>256</v>
      </c>
      <c r="V188" t="e">
        <f>VLOOKUP(Tabla1313[[#This Row],[Apoyo]],'LM SAP'!A:I,9,FALSE)</f>
        <v>#N/A</v>
      </c>
      <c r="W188" t="e">
        <f>VLOOKUP(Tabla1313[[#This Row],[Código Indra]],#REF!,1,FALSE)</f>
        <v>#REF!</v>
      </c>
    </row>
    <row r="189" spans="1:23" ht="30" x14ac:dyDescent="0.25">
      <c r="A189" s="64">
        <v>219</v>
      </c>
      <c r="B189" s="61" t="s">
        <v>810</v>
      </c>
      <c r="C189" s="76" t="s">
        <v>811</v>
      </c>
      <c r="D189" s="76" t="s">
        <v>805</v>
      </c>
      <c r="E189" s="76" t="s">
        <v>812</v>
      </c>
      <c r="F189" s="64"/>
      <c r="G189" s="61" t="s">
        <v>260</v>
      </c>
      <c r="H189" s="61" t="s">
        <v>261</v>
      </c>
      <c r="I189" s="64" t="s">
        <v>276</v>
      </c>
      <c r="J189" s="64"/>
      <c r="K189" s="213" t="s">
        <v>262</v>
      </c>
      <c r="L189" s="222">
        <v>60005078</v>
      </c>
      <c r="M189" s="223">
        <v>45616</v>
      </c>
      <c r="N189" s="223">
        <v>45635</v>
      </c>
      <c r="O189" s="240" t="s">
        <v>813</v>
      </c>
      <c r="P189" s="263" t="str">
        <f>IF(LEFT(B189,5)="09735",
    IF(ISNA(VLOOKUP(Tabla1313[[#This Row],[Apoyo]],'LM SAP'!A:G,1,FALSE)),
        "No Disponible",
        IF(VLOOKUP(Tabla1313[[#This Row],[Apoyo]],'LM SAP'!A:AD,9,FALSE)="RR",
            "Disponible",
            "Firmas SAP"
        )
    ),
    "CONSULTAR"
)</f>
        <v>No Disponible</v>
      </c>
      <c r="Q189" s="65" t="str">
        <f>MID(Tabla1313[[#This Row],[Código Indra]],1,13)</f>
        <v>0973545040200</v>
      </c>
      <c r="R189" s="63" t="s">
        <v>255</v>
      </c>
      <c r="S189" s="90" t="str">
        <f>IF(ISNA(VLOOKUP(Tabla1313[[#This Row],[Código Indra]],#REF!,1,FALSE)),"NO", "SI")</f>
        <v>SI</v>
      </c>
      <c r="T189" s="91"/>
      <c r="U189" t="s">
        <v>256</v>
      </c>
      <c r="V189" t="e">
        <f>VLOOKUP(Tabla1313[[#This Row],[Apoyo]],'LM SAP'!A:I,9,FALSE)</f>
        <v>#N/A</v>
      </c>
      <c r="W189" t="e">
        <f>VLOOKUP(Tabla1313[[#This Row],[Código Indra]],#REF!,1,FALSE)</f>
        <v>#REF!</v>
      </c>
    </row>
    <row r="190" spans="1:23" ht="30" x14ac:dyDescent="0.25">
      <c r="A190" s="64">
        <v>220</v>
      </c>
      <c r="B190" s="64" t="s">
        <v>814</v>
      </c>
      <c r="C190" s="75" t="s">
        <v>815</v>
      </c>
      <c r="D190" s="64"/>
      <c r="E190" s="75" t="s">
        <v>816</v>
      </c>
      <c r="F190" s="64">
        <v>1</v>
      </c>
      <c r="G190" s="61" t="s">
        <v>260</v>
      </c>
      <c r="H190" s="61" t="s">
        <v>261</v>
      </c>
      <c r="I190" s="61" t="s">
        <v>276</v>
      </c>
      <c r="J190" s="64" t="s">
        <v>474</v>
      </c>
      <c r="K190" s="213" t="s">
        <v>216</v>
      </c>
      <c r="L190" s="191">
        <v>60005248</v>
      </c>
      <c r="M190" s="192">
        <v>45624</v>
      </c>
      <c r="N190" s="192"/>
      <c r="O190" s="239" t="s">
        <v>817</v>
      </c>
      <c r="P190" s="220" t="str">
        <f>IF(LEFT(B190,5)="09735",
    IF(ISNA(VLOOKUP(Tabla1313[[#This Row],[Apoyo]],'LM SAP'!A:G,1,FALSE)),
        "No Disponible",
        IF(VLOOKUP(Tabla1313[[#This Row],[Apoyo]],'LM SAP'!A:AD,9,FALSE)="RR",
            "Disponible",
            "Firmas SAP"
        )
    ),
    "CONSULTAR"
)</f>
        <v>No Disponible</v>
      </c>
      <c r="Q190" s="63" t="str">
        <f>MID(Tabla1313[[#This Row],[Código Indra]],1,13)</f>
        <v>0973545047100</v>
      </c>
      <c r="R190" s="63" t="s">
        <v>255</v>
      </c>
      <c r="S190" s="90" t="str">
        <f>IF(ISNA(VLOOKUP(Tabla1313[[#This Row],[Código Indra]],#REF!,1,FALSE)),"NO", "SI")</f>
        <v>SI</v>
      </c>
      <c r="T190" s="91"/>
      <c r="U190" t="s">
        <v>256</v>
      </c>
      <c r="V190" t="e">
        <f>VLOOKUP(Tabla1313[[#This Row],[Apoyo]],'LM SAP'!A:I,9,FALSE)</f>
        <v>#N/A</v>
      </c>
      <c r="W190" t="e">
        <f>VLOOKUP(Tabla1313[[#This Row],[Código Indra]],#REF!,1,FALSE)</f>
        <v>#REF!</v>
      </c>
    </row>
    <row r="191" spans="1:23" ht="48" x14ac:dyDescent="0.25">
      <c r="A191" s="64">
        <v>221</v>
      </c>
      <c r="B191" s="61" t="s">
        <v>818</v>
      </c>
      <c r="C191" s="76" t="s">
        <v>819</v>
      </c>
      <c r="D191" s="64"/>
      <c r="E191" s="76" t="s">
        <v>820</v>
      </c>
      <c r="F191" s="64"/>
      <c r="G191" s="61" t="s">
        <v>260</v>
      </c>
      <c r="H191" s="61" t="s">
        <v>261</v>
      </c>
      <c r="I191" s="64" t="s">
        <v>276</v>
      </c>
      <c r="J191" s="64" t="s">
        <v>474</v>
      </c>
      <c r="K191" s="213" t="s">
        <v>219</v>
      </c>
      <c r="L191" s="191">
        <v>60004730</v>
      </c>
      <c r="M191" s="192">
        <v>45595</v>
      </c>
      <c r="N191" s="192">
        <v>45604</v>
      </c>
      <c r="O191" s="200" t="s">
        <v>821</v>
      </c>
      <c r="P191" s="220" t="str">
        <f>IF(LEFT(B191,5)="09735",
    IF(ISNA(VLOOKUP(Tabla1313[[#This Row],[Apoyo]],'LM SAP'!A:G,1,FALSE)),
        "No Disponible",
        IF(VLOOKUP(Tabla1313[[#This Row],[Apoyo]],'LM SAP'!A:AD,9,FALSE)="RR",
            "Disponible",
            "Firmas SAP"
        )
    ),
    "CONSULTAR"
)</f>
        <v>No Disponible</v>
      </c>
      <c r="Q191" s="63" t="str">
        <f>MID(Tabla1313[[#This Row],[Código Indra]],1,13)</f>
        <v>0973545047200</v>
      </c>
      <c r="R191" s="63" t="s">
        <v>255</v>
      </c>
      <c r="S191" s="90" t="str">
        <f>IF(ISNA(VLOOKUP(Tabla1313[[#This Row],[Código Indra]],#REF!,1,FALSE)),"NO", "SI")</f>
        <v>SI</v>
      </c>
      <c r="T191" s="91"/>
      <c r="U191" t="s">
        <v>256</v>
      </c>
      <c r="V191" t="e">
        <f>VLOOKUP(Tabla1313[[#This Row],[Apoyo]],'LM SAP'!A:I,9,FALSE)</f>
        <v>#N/A</v>
      </c>
      <c r="W191" t="e">
        <f>VLOOKUP(Tabla1313[[#This Row],[Código Indra]],#REF!,1,FALSE)</f>
        <v>#REF!</v>
      </c>
    </row>
    <row r="192" spans="1:23" ht="30" x14ac:dyDescent="0.25">
      <c r="A192" s="64">
        <v>222</v>
      </c>
      <c r="B192" s="64" t="s">
        <v>822</v>
      </c>
      <c r="C192" s="75" t="s">
        <v>823</v>
      </c>
      <c r="D192" s="64"/>
      <c r="E192" s="75" t="s">
        <v>824</v>
      </c>
      <c r="F192" s="64"/>
      <c r="G192" s="61" t="s">
        <v>260</v>
      </c>
      <c r="H192" s="61" t="s">
        <v>261</v>
      </c>
      <c r="I192" s="61" t="s">
        <v>276</v>
      </c>
      <c r="J192" s="64" t="s">
        <v>474</v>
      </c>
      <c r="K192" s="213" t="s">
        <v>215</v>
      </c>
      <c r="L192" s="222">
        <v>60005079</v>
      </c>
      <c r="M192" s="223">
        <v>45616</v>
      </c>
      <c r="N192" s="192"/>
      <c r="O192" s="264" t="s">
        <v>595</v>
      </c>
      <c r="P192" s="263" t="str">
        <f>IF(LEFT(B192,5)="09735",
    IF(ISNA(VLOOKUP(Tabla1313[[#This Row],[Apoyo]],'LM SAP'!A:G,1,FALSE)),
        "No Disponible",
        IF(VLOOKUP(Tabla1313[[#This Row],[Apoyo]],'LM SAP'!A:AD,9,FALSE)="RR",
            "Disponible",
            "Firmas SAP"
        )
    ),
    "CONSULTAR"
)</f>
        <v>No Disponible</v>
      </c>
      <c r="Q192" s="65" t="str">
        <f>MID(Tabla1313[[#This Row],[Código Indra]],1,13)</f>
        <v>0973545047300</v>
      </c>
      <c r="R192" s="63" t="s">
        <v>255</v>
      </c>
      <c r="S192" s="90" t="str">
        <f>IF(ISNA(VLOOKUP(Tabla1313[[#This Row],[Código Indra]],#REF!,1,FALSE)),"NO", "SI")</f>
        <v>SI</v>
      </c>
      <c r="T192" s="91"/>
      <c r="U192" t="s">
        <v>256</v>
      </c>
      <c r="V192" t="e">
        <f>VLOOKUP(Tabla1313[[#This Row],[Apoyo]],'LM SAP'!A:I,9,FALSE)</f>
        <v>#N/A</v>
      </c>
      <c r="W192" t="e">
        <f>VLOOKUP(Tabla1313[[#This Row],[Código Indra]],#REF!,1,FALSE)</f>
        <v>#REF!</v>
      </c>
    </row>
    <row r="193" spans="1:23" ht="36" x14ac:dyDescent="0.25">
      <c r="A193" s="64">
        <v>360</v>
      </c>
      <c r="B193" s="61" t="s">
        <v>825</v>
      </c>
      <c r="C193" s="76" t="s">
        <v>826</v>
      </c>
      <c r="D193" s="64"/>
      <c r="E193" s="76"/>
      <c r="F193" s="64"/>
      <c r="G193" s="61" t="s">
        <v>234</v>
      </c>
      <c r="H193" s="61" t="s">
        <v>250</v>
      </c>
      <c r="I193" s="64"/>
      <c r="J193" s="64"/>
      <c r="K193" s="213" t="s">
        <v>215</v>
      </c>
      <c r="L193" s="222">
        <v>60005176</v>
      </c>
      <c r="M193" s="223">
        <v>45621</v>
      </c>
      <c r="N193" s="192"/>
      <c r="O193" s="210" t="s">
        <v>827</v>
      </c>
      <c r="P193" s="263" t="str">
        <f>IF(LEFT(B193,5)="09735",
    IF(ISNA(VLOOKUP(Tabla1313[[#This Row],[Apoyo]],'LM SAP'!A:G,1,FALSE)),
        "No Disponible",
        IF(VLOOKUP(Tabla1313[[#This Row],[Apoyo]],'LM SAP'!A:AD,9,FALSE)="RR",
            "Disponible",
            "Firmas SAP"
        )
    ),
    "CONSULTAR"
)</f>
        <v>No Disponible</v>
      </c>
      <c r="Q193" s="65" t="str">
        <f>MID(Tabla1313[[#This Row],[Código Indra]],1,13)</f>
        <v>0973524330000</v>
      </c>
      <c r="R193" s="63" t="s">
        <v>255</v>
      </c>
      <c r="S193" s="90" t="str">
        <f>IF(ISNA(VLOOKUP(Tabla1313[[#This Row],[Código Indra]],#REF!,1,FALSE)),"NO", "SI")</f>
        <v>SI</v>
      </c>
      <c r="T193" s="91"/>
      <c r="U193" t="s">
        <v>255</v>
      </c>
      <c r="V193" t="e">
        <f>VLOOKUP(Tabla1313[[#This Row],[Apoyo]],'LM SAP'!A:I,9,FALSE)</f>
        <v>#N/A</v>
      </c>
      <c r="W193" t="e">
        <f>VLOOKUP(Tabla1313[[#This Row],[Código Indra]],#REF!,1,FALSE)</f>
        <v>#REF!</v>
      </c>
    </row>
    <row r="194" spans="1:23" ht="30" x14ac:dyDescent="0.25">
      <c r="A194" s="64">
        <v>224</v>
      </c>
      <c r="B194" s="64" t="s">
        <v>828</v>
      </c>
      <c r="C194" s="75" t="s">
        <v>829</v>
      </c>
      <c r="D194" s="64"/>
      <c r="E194" s="75" t="s">
        <v>830</v>
      </c>
      <c r="F194" s="64">
        <v>1</v>
      </c>
      <c r="G194" s="61" t="s">
        <v>260</v>
      </c>
      <c r="H194" s="61" t="s">
        <v>261</v>
      </c>
      <c r="I194" s="61" t="s">
        <v>276</v>
      </c>
      <c r="J194" s="64" t="s">
        <v>474</v>
      </c>
      <c r="K194" s="213" t="s">
        <v>216</v>
      </c>
      <c r="L194" s="222">
        <v>60005191</v>
      </c>
      <c r="M194" s="223">
        <v>45622</v>
      </c>
      <c r="N194" s="192"/>
      <c r="O194" s="239" t="s">
        <v>831</v>
      </c>
      <c r="P194" s="263" t="str">
        <f>IF(LEFT(B194,5)="09735",
    IF(ISNA(VLOOKUP(Tabla1313[[#This Row],[Apoyo]],'LM SAP'!A:G,1,FALSE)),
        "No Disponible",
        IF(VLOOKUP(Tabla1313[[#This Row],[Apoyo]],'LM SAP'!A:AD,9,FALSE)="RR",
            "Disponible",
            "Firmas SAP"
        )
    ),
    "CONSULTAR"
)</f>
        <v>No Disponible</v>
      </c>
      <c r="Q194" s="65" t="str">
        <f>MID(Tabla1313[[#This Row],[Código Indra]],1,13)</f>
        <v>0973545047500</v>
      </c>
      <c r="R194" s="63" t="s">
        <v>255</v>
      </c>
      <c r="S194" s="90" t="str">
        <f>IF(ISNA(VLOOKUP(Tabla1313[[#This Row],[Código Indra]],#REF!,1,FALSE)),"NO", "SI")</f>
        <v>SI</v>
      </c>
      <c r="T194" s="91"/>
      <c r="U194" t="s">
        <v>256</v>
      </c>
      <c r="V194" t="e">
        <f>VLOOKUP(Tabla1313[[#This Row],[Apoyo]],'LM SAP'!A:I,9,FALSE)</f>
        <v>#N/A</v>
      </c>
      <c r="W194" t="e">
        <f>VLOOKUP(Tabla1313[[#This Row],[Código Indra]],#REF!,1,FALSE)</f>
        <v>#REF!</v>
      </c>
    </row>
    <row r="195" spans="1:23" ht="30" x14ac:dyDescent="0.25">
      <c r="A195" s="64">
        <v>225</v>
      </c>
      <c r="B195" s="61" t="s">
        <v>832</v>
      </c>
      <c r="C195" s="75" t="s">
        <v>833</v>
      </c>
      <c r="D195" s="64"/>
      <c r="E195" s="76" t="s">
        <v>834</v>
      </c>
      <c r="F195" s="64">
        <v>1</v>
      </c>
      <c r="G195" s="61" t="s">
        <v>260</v>
      </c>
      <c r="H195" s="61" t="s">
        <v>261</v>
      </c>
      <c r="I195" s="64" t="s">
        <v>276</v>
      </c>
      <c r="J195" s="64" t="s">
        <v>474</v>
      </c>
      <c r="K195" s="213" t="s">
        <v>215</v>
      </c>
      <c r="L195" s="222">
        <v>60005262</v>
      </c>
      <c r="M195" s="223">
        <v>45623</v>
      </c>
      <c r="N195" s="192"/>
      <c r="O195" s="264" t="s">
        <v>595</v>
      </c>
      <c r="P195" s="263" t="str">
        <f>IF(LEFT(B195,5)="09735",
    IF(ISNA(VLOOKUP(Tabla1313[[#This Row],[Apoyo]],'LM SAP'!A:G,1,FALSE)),
        "No Disponible",
        IF(VLOOKUP(Tabla1313[[#This Row],[Apoyo]],'LM SAP'!A:AD,9,FALSE)="RR",
            "Disponible",
            "Firmas SAP"
        )
    ),
    "CONSULTAR"
)</f>
        <v>No Disponible</v>
      </c>
      <c r="Q195" s="65" t="str">
        <f>MID(Tabla1313[[#This Row],[Código Indra]],1,13)</f>
        <v>0973545047600</v>
      </c>
      <c r="R195" s="63" t="s">
        <v>255</v>
      </c>
      <c r="S195" s="90" t="str">
        <f>IF(ISNA(VLOOKUP(Tabla1313[[#This Row],[Código Indra]],#REF!,1,FALSE)),"NO", "SI")</f>
        <v>SI</v>
      </c>
      <c r="T195" s="91"/>
      <c r="U195" t="s">
        <v>256</v>
      </c>
      <c r="V195" t="e">
        <f>VLOOKUP(Tabla1313[[#This Row],[Apoyo]],'LM SAP'!A:I,9,FALSE)</f>
        <v>#N/A</v>
      </c>
      <c r="W195" t="e">
        <f>VLOOKUP(Tabla1313[[#This Row],[Código Indra]],#REF!,1,FALSE)</f>
        <v>#REF!</v>
      </c>
    </row>
    <row r="196" spans="1:23" x14ac:dyDescent="0.25">
      <c r="A196" s="64">
        <v>226</v>
      </c>
      <c r="B196" s="64" t="s">
        <v>835</v>
      </c>
      <c r="C196" s="75" t="s">
        <v>836</v>
      </c>
      <c r="D196" s="64"/>
      <c r="E196" s="76"/>
      <c r="F196" s="64"/>
      <c r="G196" s="61" t="s">
        <v>260</v>
      </c>
      <c r="H196" s="61" t="s">
        <v>261</v>
      </c>
      <c r="I196" s="61" t="s">
        <v>678</v>
      </c>
      <c r="J196" s="64" t="s">
        <v>474</v>
      </c>
      <c r="K196" s="213" t="s">
        <v>213</v>
      </c>
      <c r="L196" s="191"/>
      <c r="M196" s="192"/>
      <c r="N196" s="192"/>
      <c r="O196" s="260"/>
      <c r="P196" s="263" t="str">
        <f>IF(LEFT(B196,5)="09735",
    IF(ISNA(VLOOKUP(Tabla1313[[#This Row],[Apoyo]],'LM SAP'!A:G,1,FALSE)),
        "No Disponible",
        IF(VLOOKUP(Tabla1313[[#This Row],[Apoyo]],'LM SAP'!A:AD,9,FALSE)="RR",
            "Disponible",
            "Firmas SAP"
        )
    ),
    "CONSULTAR"
)</f>
        <v>No Disponible</v>
      </c>
      <c r="Q196" s="65" t="str">
        <f>MID(Tabla1313[[#This Row],[Código Indra]],1,13)</f>
        <v>0973545047800</v>
      </c>
      <c r="R196" s="63" t="s">
        <v>255</v>
      </c>
      <c r="S196" s="90" t="str">
        <f>IF(ISNA(VLOOKUP(Tabla1313[[#This Row],[Código Indra]],#REF!,1,FALSE)),"NO", "SI")</f>
        <v>SI</v>
      </c>
      <c r="T196" s="91"/>
      <c r="U196" t="s">
        <v>256</v>
      </c>
      <c r="V196" t="e">
        <f>VLOOKUP(Tabla1313[[#This Row],[Apoyo]],'LM SAP'!A:I,9,FALSE)</f>
        <v>#N/A</v>
      </c>
      <c r="W196" t="e">
        <f>VLOOKUP(Tabla1313[[#This Row],[Código Indra]],#REF!,1,FALSE)</f>
        <v>#REF!</v>
      </c>
    </row>
    <row r="197" spans="1:23" ht="30" x14ac:dyDescent="0.25">
      <c r="A197" s="64">
        <v>227</v>
      </c>
      <c r="B197" s="61" t="s">
        <v>837</v>
      </c>
      <c r="C197" s="76" t="s">
        <v>838</v>
      </c>
      <c r="D197" s="64"/>
      <c r="E197" s="76" t="s">
        <v>839</v>
      </c>
      <c r="F197" s="64">
        <v>1</v>
      </c>
      <c r="G197" s="61" t="s">
        <v>260</v>
      </c>
      <c r="H197" s="61" t="s">
        <v>261</v>
      </c>
      <c r="I197" s="64" t="s">
        <v>276</v>
      </c>
      <c r="J197" s="64" t="s">
        <v>474</v>
      </c>
      <c r="K197" s="213" t="s">
        <v>216</v>
      </c>
      <c r="L197" s="191">
        <v>60005174</v>
      </c>
      <c r="M197" s="192">
        <v>45621</v>
      </c>
      <c r="N197" s="192"/>
      <c r="O197" s="239" t="s">
        <v>840</v>
      </c>
      <c r="P197" s="263" t="str">
        <f>IF(LEFT(B197,5)="09735",
    IF(ISNA(VLOOKUP(Tabla1313[[#This Row],[Apoyo]],'LM SAP'!A:G,1,FALSE)),
        "No Disponible",
        IF(VLOOKUP(Tabla1313[[#This Row],[Apoyo]],'LM SAP'!A:AD,9,FALSE)="RR",
            "Disponible",
            "Firmas SAP"
        )
    ),
    "CONSULTAR"
)</f>
        <v>No Disponible</v>
      </c>
      <c r="Q197" s="65" t="str">
        <f>MID(Tabla1313[[#This Row],[Código Indra]],1,13)</f>
        <v>0973545048000</v>
      </c>
      <c r="R197" s="63" t="s">
        <v>255</v>
      </c>
      <c r="S197" s="90" t="str">
        <f>IF(ISNA(VLOOKUP(Tabla1313[[#This Row],[Código Indra]],#REF!,1,FALSE)),"NO", "SI")</f>
        <v>SI</v>
      </c>
      <c r="T197" s="91"/>
      <c r="U197" t="s">
        <v>256</v>
      </c>
      <c r="V197" t="e">
        <f>VLOOKUP(Tabla1313[[#This Row],[Apoyo]],'LM SAP'!A:I,9,FALSE)</f>
        <v>#N/A</v>
      </c>
      <c r="W197" t="e">
        <f>VLOOKUP(Tabla1313[[#This Row],[Código Indra]],#REF!,1,FALSE)</f>
        <v>#REF!</v>
      </c>
    </row>
    <row r="198" spans="1:23" ht="30" x14ac:dyDescent="0.25">
      <c r="A198" s="64">
        <v>228</v>
      </c>
      <c r="B198" s="64" t="s">
        <v>841</v>
      </c>
      <c r="C198" s="75" t="s">
        <v>842</v>
      </c>
      <c r="D198" s="64"/>
      <c r="E198" s="75" t="s">
        <v>843</v>
      </c>
      <c r="F198" s="64">
        <v>1</v>
      </c>
      <c r="G198" s="61" t="s">
        <v>260</v>
      </c>
      <c r="H198" s="61" t="s">
        <v>261</v>
      </c>
      <c r="I198" s="61" t="s">
        <v>276</v>
      </c>
      <c r="J198" s="64" t="s">
        <v>474</v>
      </c>
      <c r="K198" s="213" t="s">
        <v>215</v>
      </c>
      <c r="L198" s="222">
        <v>60005175</v>
      </c>
      <c r="M198" s="223">
        <v>45621</v>
      </c>
      <c r="N198" s="192"/>
      <c r="O198" s="264" t="s">
        <v>595</v>
      </c>
      <c r="P198" s="263" t="str">
        <f>IF(LEFT(B198,5)="09735",
    IF(ISNA(VLOOKUP(Tabla1313[[#This Row],[Apoyo]],'LM SAP'!A:G,1,FALSE)),
        "No Disponible",
        IF(VLOOKUP(Tabla1313[[#This Row],[Apoyo]],'LM SAP'!A:AD,9,FALSE)="RR",
            "Disponible",
            "Firmas SAP"
        )
    ),
    "CONSULTAR"
)</f>
        <v>No Disponible</v>
      </c>
      <c r="Q198" s="65" t="str">
        <f>MID(Tabla1313[[#This Row],[Código Indra]],1,13)</f>
        <v>0973545048200</v>
      </c>
      <c r="R198" s="63" t="s">
        <v>255</v>
      </c>
      <c r="S198" s="90" t="str">
        <f>IF(ISNA(VLOOKUP(Tabla1313[[#This Row],[Código Indra]],#REF!,1,FALSE)),"NO", "SI")</f>
        <v>SI</v>
      </c>
      <c r="T198" s="91"/>
      <c r="U198" t="s">
        <v>256</v>
      </c>
      <c r="V198" t="e">
        <f>VLOOKUP(Tabla1313[[#This Row],[Apoyo]],'LM SAP'!A:I,9,FALSE)</f>
        <v>#N/A</v>
      </c>
      <c r="W198" t="e">
        <f>VLOOKUP(Tabla1313[[#This Row],[Código Indra]],#REF!,1,FALSE)</f>
        <v>#REF!</v>
      </c>
    </row>
    <row r="199" spans="1:23" ht="30" x14ac:dyDescent="0.25">
      <c r="A199" s="64">
        <v>229</v>
      </c>
      <c r="B199" s="61" t="s">
        <v>844</v>
      </c>
      <c r="C199" s="76" t="s">
        <v>845</v>
      </c>
      <c r="D199" s="64"/>
      <c r="E199" s="76" t="s">
        <v>846</v>
      </c>
      <c r="F199" s="64">
        <v>1</v>
      </c>
      <c r="G199" s="61" t="s">
        <v>234</v>
      </c>
      <c r="H199" s="64"/>
      <c r="I199" s="64" t="s">
        <v>276</v>
      </c>
      <c r="J199" s="64" t="s">
        <v>474</v>
      </c>
      <c r="K199" s="213" t="s">
        <v>219</v>
      </c>
      <c r="L199" s="191">
        <v>60005168</v>
      </c>
      <c r="M199" s="192">
        <v>45621</v>
      </c>
      <c r="N199" s="192">
        <v>45629</v>
      </c>
      <c r="O199" s="219" t="s">
        <v>281</v>
      </c>
      <c r="P199" s="263" t="str">
        <f>IF(LEFT(B199,5)="09735",
    IF(ISNA(VLOOKUP(Tabla1313[[#This Row],[Apoyo]],'LM SAP'!A:G,1,FALSE)),
        "No Disponible",
        IF(VLOOKUP(Tabla1313[[#This Row],[Apoyo]],'LM SAP'!A:AD,9,FALSE)="RR",
            "Disponible",
            "Firmas SAP"
        )
    ),
    "CONSULTAR"
)</f>
        <v>No Disponible</v>
      </c>
      <c r="Q199" s="65" t="str">
        <f>MID(Tabla1313[[#This Row],[Código Indra]],1,13)</f>
        <v>0973545048700</v>
      </c>
      <c r="R199" s="63" t="s">
        <v>255</v>
      </c>
      <c r="S199" s="90" t="str">
        <f>IF(ISNA(VLOOKUP(Tabla1313[[#This Row],[Código Indra]],#REF!,1,FALSE)),"NO", "SI")</f>
        <v>SI</v>
      </c>
      <c r="T199" s="91"/>
      <c r="U199" t="s">
        <v>256</v>
      </c>
      <c r="V199" t="e">
        <f>VLOOKUP(Tabla1313[[#This Row],[Apoyo]],'LM SAP'!A:I,9,FALSE)</f>
        <v>#N/A</v>
      </c>
      <c r="W199" t="e">
        <f>VLOOKUP(Tabla1313[[#This Row],[Código Indra]],#REF!,1,FALSE)</f>
        <v>#REF!</v>
      </c>
    </row>
    <row r="200" spans="1:23" x14ac:dyDescent="0.25">
      <c r="A200" s="64">
        <v>231</v>
      </c>
      <c r="B200" s="64" t="s">
        <v>847</v>
      </c>
      <c r="C200" s="75" t="s">
        <v>848</v>
      </c>
      <c r="D200" s="64"/>
      <c r="E200" s="76"/>
      <c r="F200" s="64"/>
      <c r="G200" s="61" t="s">
        <v>622</v>
      </c>
      <c r="H200" s="61" t="s">
        <v>275</v>
      </c>
      <c r="I200" s="61" t="s">
        <v>591</v>
      </c>
      <c r="J200" s="64" t="s">
        <v>474</v>
      </c>
      <c r="K200" s="213" t="s">
        <v>213</v>
      </c>
      <c r="L200" s="191"/>
      <c r="M200" s="192"/>
      <c r="N200" s="192"/>
      <c r="O200" s="257"/>
      <c r="P200" s="220" t="str">
        <f>IF(LEFT(B200,5)="09735",
    IF(ISNA(VLOOKUP(Tabla1313[[#This Row],[Apoyo]],'LM SAP'!A:G,1,FALSE)),
        "No Disponible",
        IF(VLOOKUP(Tabla1313[[#This Row],[Apoyo]],'LM SAP'!A:AD,9,FALSE)="RR",
            "Disponible",
            "Firmas SAP"
        )
    ),
    "CONSULTAR"
)</f>
        <v>No Disponible</v>
      </c>
      <c r="Q200" s="63" t="str">
        <f>MID(Tabla1313[[#This Row],[Código Indra]],1,13)</f>
        <v>0973545300101</v>
      </c>
      <c r="R200" s="63" t="s">
        <v>260</v>
      </c>
      <c r="S200" s="90" t="str">
        <f>IF(ISNA(VLOOKUP(Tabla1313[[#This Row],[Código Indra]],#REF!,1,FALSE)),"NO", "SI")</f>
        <v>SI</v>
      </c>
      <c r="T200" s="91"/>
      <c r="U200" t="s">
        <v>260</v>
      </c>
      <c r="V200" t="e">
        <f>VLOOKUP(Tabla1313[[#This Row],[Apoyo]],'LM SAP'!A:I,9,FALSE)</f>
        <v>#N/A</v>
      </c>
      <c r="W200" t="e">
        <f>VLOOKUP(Tabla1313[[#This Row],[Código Indra]],#REF!,1,FALSE)</f>
        <v>#REF!</v>
      </c>
    </row>
    <row r="201" spans="1:23" x14ac:dyDescent="0.25">
      <c r="A201" s="64">
        <v>232</v>
      </c>
      <c r="B201" s="61" t="s">
        <v>849</v>
      </c>
      <c r="C201" s="76" t="s">
        <v>850</v>
      </c>
      <c r="D201" s="64"/>
      <c r="E201" s="76"/>
      <c r="F201" s="64"/>
      <c r="G201" s="61" t="s">
        <v>622</v>
      </c>
      <c r="H201" s="61" t="s">
        <v>275</v>
      </c>
      <c r="I201" s="64" t="s">
        <v>591</v>
      </c>
      <c r="J201" s="64" t="s">
        <v>474</v>
      </c>
      <c r="K201" s="213" t="s">
        <v>213</v>
      </c>
      <c r="L201" s="191"/>
      <c r="M201" s="192"/>
      <c r="N201" s="192"/>
      <c r="O201" s="261"/>
      <c r="P201" s="220" t="str">
        <f>IF(LEFT(B201,5)="09735",
    IF(ISNA(VLOOKUP(Tabla1313[[#This Row],[Apoyo]],'LM SAP'!A:G,1,FALSE)),
        "No Disponible",
        IF(VLOOKUP(Tabla1313[[#This Row],[Apoyo]],'LM SAP'!A:AD,9,FALSE)="RR",
            "Disponible",
            "Firmas SAP"
        )
    ),
    "CONSULTAR"
)</f>
        <v>No Disponible</v>
      </c>
      <c r="Q201" s="63" t="str">
        <f>MID(Tabla1313[[#This Row],[Código Indra]],1,13)</f>
        <v>0973545300102</v>
      </c>
      <c r="R201" s="63" t="s">
        <v>260</v>
      </c>
      <c r="S201" s="90" t="str">
        <f>IF(ISNA(VLOOKUP(Tabla1313[[#This Row],[Código Indra]],#REF!,1,FALSE)),"NO", "SI")</f>
        <v>SI</v>
      </c>
      <c r="T201" s="91"/>
      <c r="U201" t="s">
        <v>260</v>
      </c>
      <c r="V201" t="e">
        <f>VLOOKUP(Tabla1313[[#This Row],[Apoyo]],'LM SAP'!A:I,9,FALSE)</f>
        <v>#N/A</v>
      </c>
      <c r="W201" t="e">
        <f>VLOOKUP(Tabla1313[[#This Row],[Código Indra]],#REF!,1,FALSE)</f>
        <v>#REF!</v>
      </c>
    </row>
    <row r="202" spans="1:23" ht="72" x14ac:dyDescent="0.25">
      <c r="A202" s="64">
        <v>240</v>
      </c>
      <c r="B202" s="64" t="s">
        <v>851</v>
      </c>
      <c r="C202" s="75" t="s">
        <v>852</v>
      </c>
      <c r="D202" s="64"/>
      <c r="E202" s="75" t="s">
        <v>853</v>
      </c>
      <c r="F202" s="64">
        <v>1</v>
      </c>
      <c r="G202" s="61" t="s">
        <v>260</v>
      </c>
      <c r="H202" s="61" t="s">
        <v>261</v>
      </c>
      <c r="I202" s="61" t="s">
        <v>276</v>
      </c>
      <c r="J202" s="64" t="s">
        <v>474</v>
      </c>
      <c r="K202" s="184" t="s">
        <v>221</v>
      </c>
      <c r="L202" s="191">
        <v>60004842</v>
      </c>
      <c r="M202" s="192">
        <v>45607</v>
      </c>
      <c r="N202" s="192">
        <v>45611</v>
      </c>
      <c r="O202" s="248" t="s">
        <v>854</v>
      </c>
      <c r="P202" s="226" t="str">
        <f>IF(LEFT(B202,5)="09735",
    IF(ISNA(VLOOKUP(Tabla1313[[#This Row],[Apoyo]],'LM SAP'!A:G,1,FALSE)),
        "No Disponible",
        IF(VLOOKUP(Tabla1313[[#This Row],[Apoyo]],'LM SAP'!A:AD,9,FALSE)="RR",
            "Disponible",
            "Firmas SAP"
        )
    ),
    "CONSULTAR"
)</f>
        <v>No Disponible</v>
      </c>
      <c r="Q202" s="165" t="str">
        <f>MID(Tabla1313[[#This Row],[Código Indra]],1,13)</f>
        <v>0973545310100</v>
      </c>
      <c r="R202" s="63" t="s">
        <v>255</v>
      </c>
      <c r="S202" s="166" t="str">
        <f>IF(ISNA(VLOOKUP(Tabla1313[[#This Row],[Código Indra]],#REF!,1,FALSE)),"NO", "SI")</f>
        <v>SI</v>
      </c>
      <c r="T202" s="8"/>
      <c r="U202" t="s">
        <v>256</v>
      </c>
      <c r="V202" t="e">
        <f>VLOOKUP(Tabla1313[[#This Row],[Apoyo]],'LM SAP'!A:I,9,FALSE)</f>
        <v>#N/A</v>
      </c>
      <c r="W202" t="e">
        <f>VLOOKUP(Tabla1313[[#This Row],[Código Indra]],#REF!,1,FALSE)</f>
        <v>#REF!</v>
      </c>
    </row>
    <row r="203" spans="1:23" ht="72" x14ac:dyDescent="0.25">
      <c r="A203" s="64">
        <v>241</v>
      </c>
      <c r="B203" s="61" t="s">
        <v>855</v>
      </c>
      <c r="C203" s="76" t="s">
        <v>856</v>
      </c>
      <c r="D203" s="64" t="s">
        <v>116</v>
      </c>
      <c r="E203" s="76" t="s">
        <v>857</v>
      </c>
      <c r="F203" s="64">
        <v>1</v>
      </c>
      <c r="G203" s="61" t="s">
        <v>260</v>
      </c>
      <c r="H203" s="61" t="s">
        <v>261</v>
      </c>
      <c r="I203" s="64" t="s">
        <v>276</v>
      </c>
      <c r="J203" s="64" t="s">
        <v>474</v>
      </c>
      <c r="K203" s="213" t="s">
        <v>252</v>
      </c>
      <c r="L203" s="191">
        <v>60004731</v>
      </c>
      <c r="M203" s="192">
        <v>45595</v>
      </c>
      <c r="N203" s="192">
        <v>45602</v>
      </c>
      <c r="O203" s="200" t="s">
        <v>858</v>
      </c>
      <c r="P203" s="220" t="str">
        <f>IF(LEFT(B203,5)="09735",
    IF(ISNA(VLOOKUP(Tabla1313[[#This Row],[Apoyo]],'LM SAP'!A:G,1,FALSE)),
        "No Disponible",
        IF(VLOOKUP(Tabla1313[[#This Row],[Apoyo]],'LM SAP'!A:AD,9,FALSE)="RR",
            "Disponible",
            "Firmas SAP"
        )
    ),
    "CONSULTAR"
)</f>
        <v>No Disponible</v>
      </c>
      <c r="Q203" s="63" t="str">
        <f>MID(Tabla1313[[#This Row],[Código Indra]],1,13)</f>
        <v>0973545310200</v>
      </c>
      <c r="R203" s="63" t="s">
        <v>255</v>
      </c>
      <c r="S203" s="90" t="str">
        <f>IF(ISNA(VLOOKUP(Tabla1313[[#This Row],[Código Indra]],#REF!,1,FALSE)),"NO", "SI")</f>
        <v>SI</v>
      </c>
      <c r="T203" s="91"/>
      <c r="U203" t="s">
        <v>256</v>
      </c>
      <c r="V203" t="e">
        <f>VLOOKUP(Tabla1313[[#This Row],[Apoyo]],'LM SAP'!A:I,9,FALSE)</f>
        <v>#N/A</v>
      </c>
      <c r="W203" t="e">
        <f>VLOOKUP(Tabla1313[[#This Row],[Código Indra]],#REF!,1,FALSE)</f>
        <v>#REF!</v>
      </c>
    </row>
    <row r="204" spans="1:23" ht="30" x14ac:dyDescent="0.25">
      <c r="A204" s="64">
        <v>149</v>
      </c>
      <c r="B204" s="64" t="s">
        <v>52</v>
      </c>
      <c r="C204" s="75" t="s">
        <v>53</v>
      </c>
      <c r="D204" s="64"/>
      <c r="E204" s="75" t="s">
        <v>859</v>
      </c>
      <c r="F204" s="64">
        <v>1</v>
      </c>
      <c r="G204" s="61" t="s">
        <v>234</v>
      </c>
      <c r="H204" s="64"/>
      <c r="I204" s="61" t="s">
        <v>276</v>
      </c>
      <c r="J204" s="64" t="s">
        <v>474</v>
      </c>
      <c r="K204" s="213" t="s">
        <v>212</v>
      </c>
      <c r="L204" s="191"/>
      <c r="M204" s="192"/>
      <c r="N204" s="192"/>
      <c r="O204" s="257" t="s">
        <v>638</v>
      </c>
      <c r="P204" s="220" t="str">
        <f>IF(LEFT(B204,5)="09735",
    IF(ISNA(VLOOKUP(Tabla1313[[#This Row],[Apoyo]],'LM SAP'!A:G,1,FALSE)),
        "No Disponible",
        IF(VLOOKUP(Tabla1313[[#This Row],[Apoyo]],'LM SAP'!A:AD,9,FALSE)="RR",
            "Disponible",
            "Firmas SAP"
        )
    ),
    "CONSULTAR"
)</f>
        <v>No Disponible</v>
      </c>
      <c r="Q204" s="63" t="str">
        <f>MID(Tabla1313[[#This Row],[Código Indra]],1,13)</f>
        <v>0973524430000</v>
      </c>
      <c r="R204" s="63" t="s">
        <v>255</v>
      </c>
      <c r="S204" s="90" t="str">
        <f>IF(ISNA(VLOOKUP(Tabla1313[[#This Row],[Código Indra]],#REF!,1,FALSE)),"NO", "SI")</f>
        <v>SI</v>
      </c>
      <c r="T204" s="91"/>
      <c r="U204" t="s">
        <v>227</v>
      </c>
      <c r="V204" t="e">
        <f>VLOOKUP(Tabla1313[[#This Row],[Apoyo]],'LM SAP'!A:I,9,FALSE)</f>
        <v>#N/A</v>
      </c>
      <c r="W204" t="e">
        <f>VLOOKUP(Tabla1313[[#This Row],[Código Indra]],#REF!,1,FALSE)</f>
        <v>#REF!</v>
      </c>
    </row>
    <row r="205" spans="1:23" s="110" customFormat="1" ht="48" x14ac:dyDescent="0.25">
      <c r="A205" s="64">
        <v>259</v>
      </c>
      <c r="B205" s="61" t="s">
        <v>860</v>
      </c>
      <c r="C205" s="76" t="s">
        <v>861</v>
      </c>
      <c r="D205" s="64" t="s">
        <v>862</v>
      </c>
      <c r="E205" s="76" t="s">
        <v>863</v>
      </c>
      <c r="F205" s="64">
        <v>1</v>
      </c>
      <c r="G205" s="61" t="s">
        <v>234</v>
      </c>
      <c r="H205" s="61" t="s">
        <v>275</v>
      </c>
      <c r="I205" s="64" t="s">
        <v>591</v>
      </c>
      <c r="J205" s="64" t="s">
        <v>474</v>
      </c>
      <c r="K205" s="213" t="s">
        <v>262</v>
      </c>
      <c r="L205" s="191">
        <v>60004994</v>
      </c>
      <c r="M205" s="192">
        <v>45615</v>
      </c>
      <c r="N205" s="192">
        <v>45622</v>
      </c>
      <c r="O205" s="219" t="s">
        <v>864</v>
      </c>
      <c r="P205" s="220" t="str">
        <f>IF(LEFT(B205,5)="09735",
    IF(ISNA(VLOOKUP(Tabla1313[[#This Row],[Apoyo]],'LM SAP'!A:G,1,FALSE)),
        "No Disponible",
        IF(VLOOKUP(Tabla1313[[#This Row],[Apoyo]],'LM SAP'!A:AD,9,FALSE)="RR",
            "Disponible",
            "Firmas SAP"
        )
    ),
    "CONSULTAR"
)</f>
        <v>No Disponible</v>
      </c>
      <c r="Q205" s="63" t="str">
        <f>MID(Tabla1313[[#This Row],[Código Indra]],1,13)</f>
        <v>0973545082001</v>
      </c>
      <c r="R205" s="121" t="s">
        <v>255</v>
      </c>
      <c r="S205" s="63" t="str">
        <f>IF(ISNA(VLOOKUP(Tabla1313[[#This Row],[Código Indra]],#REF!,1,FALSE)),"NO", "SI")</f>
        <v>SI</v>
      </c>
      <c r="T205" s="91"/>
      <c r="U205" t="s">
        <v>256</v>
      </c>
      <c r="V205" s="110" t="e">
        <f>VLOOKUP(Tabla1313[[#This Row],[Apoyo]],'LM SAP'!A:I,9,FALSE)</f>
        <v>#N/A</v>
      </c>
      <c r="W205" s="110" t="e">
        <f>VLOOKUP(Tabla1313[[#This Row],[Código Indra]],#REF!,1,FALSE)</f>
        <v>#REF!</v>
      </c>
    </row>
    <row r="206" spans="1:23" s="110" customFormat="1" ht="45" x14ac:dyDescent="0.25">
      <c r="A206" s="64">
        <v>260</v>
      </c>
      <c r="B206" s="64" t="s">
        <v>865</v>
      </c>
      <c r="C206" s="75" t="s">
        <v>866</v>
      </c>
      <c r="D206" s="61" t="s">
        <v>862</v>
      </c>
      <c r="E206" s="75" t="s">
        <v>867</v>
      </c>
      <c r="F206" s="64">
        <v>1</v>
      </c>
      <c r="G206" s="61" t="s">
        <v>234</v>
      </c>
      <c r="H206" s="61" t="s">
        <v>275</v>
      </c>
      <c r="I206" s="61" t="s">
        <v>591</v>
      </c>
      <c r="J206" s="64" t="s">
        <v>474</v>
      </c>
      <c r="K206" s="213" t="s">
        <v>262</v>
      </c>
      <c r="L206" s="191">
        <v>60004995</v>
      </c>
      <c r="M206" s="192">
        <v>45615</v>
      </c>
      <c r="N206" s="192">
        <v>45629</v>
      </c>
      <c r="O206" s="219" t="s">
        <v>868</v>
      </c>
      <c r="P206" s="220" t="str">
        <f>IF(LEFT(B206,5)="09735",
    IF(ISNA(VLOOKUP(Tabla1313[[#This Row],[Apoyo]],'LM SAP'!A:G,1,FALSE)),
        "No Disponible",
        IF(VLOOKUP(Tabla1313[[#This Row],[Apoyo]],'LM SAP'!A:AD,9,FALSE)="RR",
            "Disponible",
            "Firmas SAP"
        )
    ),
    "CONSULTAR"
)</f>
        <v>No Disponible</v>
      </c>
      <c r="Q206" s="63" t="str">
        <f>MID(Tabla1313[[#This Row],[Código Indra]],1,13)</f>
        <v>0973545082002</v>
      </c>
      <c r="R206" s="121" t="s">
        <v>255</v>
      </c>
      <c r="S206" s="63" t="str">
        <f>IF(ISNA(VLOOKUP(Tabla1313[[#This Row],[Código Indra]],#REF!,1,FALSE)),"NO", "SI")</f>
        <v>SI</v>
      </c>
      <c r="T206" s="91"/>
      <c r="U206" t="s">
        <v>256</v>
      </c>
      <c r="V206" s="110" t="e">
        <f>VLOOKUP(Tabla1313[[#This Row],[Apoyo]],'LM SAP'!A:I,9,FALSE)</f>
        <v>#N/A</v>
      </c>
      <c r="W206" s="110" t="e">
        <f>VLOOKUP(Tabla1313[[#This Row],[Código Indra]],#REF!,1,FALSE)</f>
        <v>#REF!</v>
      </c>
    </row>
    <row r="207" spans="1:23" s="110" customFormat="1" ht="45" x14ac:dyDescent="0.25">
      <c r="A207" s="64">
        <v>261</v>
      </c>
      <c r="B207" s="61" t="s">
        <v>869</v>
      </c>
      <c r="C207" s="76" t="s">
        <v>870</v>
      </c>
      <c r="D207" s="64" t="s">
        <v>862</v>
      </c>
      <c r="E207" s="76" t="s">
        <v>871</v>
      </c>
      <c r="F207" s="64">
        <v>1</v>
      </c>
      <c r="G207" s="61" t="s">
        <v>234</v>
      </c>
      <c r="H207" s="61" t="s">
        <v>275</v>
      </c>
      <c r="I207" s="64" t="s">
        <v>591</v>
      </c>
      <c r="J207" s="64" t="s">
        <v>474</v>
      </c>
      <c r="K207" s="213" t="s">
        <v>262</v>
      </c>
      <c r="L207" s="191">
        <v>60004996</v>
      </c>
      <c r="M207" s="192">
        <v>45615</v>
      </c>
      <c r="N207" s="192">
        <v>45629</v>
      </c>
      <c r="O207" s="219" t="s">
        <v>868</v>
      </c>
      <c r="P207" s="220" t="str">
        <f>IF(LEFT(B207,5)="09735",
    IF(ISNA(VLOOKUP(Tabla1313[[#This Row],[Apoyo]],'LM SAP'!A:G,1,FALSE)),
        "No Disponible",
        IF(VLOOKUP(Tabla1313[[#This Row],[Apoyo]],'LM SAP'!A:AD,9,FALSE)="RR",
            "Disponible",
            "Firmas SAP"
        )
    ),
    "CONSULTAR"
)</f>
        <v>No Disponible</v>
      </c>
      <c r="Q207" s="63" t="str">
        <f>MID(Tabla1313[[#This Row],[Código Indra]],1,13)</f>
        <v>0973545082003</v>
      </c>
      <c r="R207" s="121" t="s">
        <v>255</v>
      </c>
      <c r="S207" s="63" t="str">
        <f>IF(ISNA(VLOOKUP(Tabla1313[[#This Row],[Código Indra]],#REF!,1,FALSE)),"NO", "SI")</f>
        <v>SI</v>
      </c>
      <c r="T207" s="91"/>
      <c r="U207" t="s">
        <v>256</v>
      </c>
      <c r="V207" s="110" t="e">
        <f>VLOOKUP(Tabla1313[[#This Row],[Apoyo]],'LM SAP'!A:I,9,FALSE)</f>
        <v>#N/A</v>
      </c>
      <c r="W207" s="110" t="e">
        <f>VLOOKUP(Tabla1313[[#This Row],[Código Indra]],#REF!,1,FALSE)</f>
        <v>#REF!</v>
      </c>
    </row>
    <row r="208" spans="1:23" s="110" customFormat="1" ht="45" x14ac:dyDescent="0.25">
      <c r="A208" s="64">
        <v>262</v>
      </c>
      <c r="B208" s="64" t="s">
        <v>872</v>
      </c>
      <c r="C208" s="75" t="s">
        <v>873</v>
      </c>
      <c r="D208" s="61" t="s">
        <v>862</v>
      </c>
      <c r="E208" s="75" t="s">
        <v>874</v>
      </c>
      <c r="F208" s="64">
        <v>1</v>
      </c>
      <c r="G208" s="61" t="s">
        <v>234</v>
      </c>
      <c r="H208" s="64"/>
      <c r="I208" s="61" t="s">
        <v>591</v>
      </c>
      <c r="J208" s="64" t="s">
        <v>474</v>
      </c>
      <c r="K208" s="213" t="s">
        <v>215</v>
      </c>
      <c r="L208" s="222">
        <v>60005169</v>
      </c>
      <c r="M208" s="223">
        <v>45621</v>
      </c>
      <c r="N208" s="192"/>
      <c r="O208" s="264" t="s">
        <v>595</v>
      </c>
      <c r="P208" s="220" t="str">
        <f>IF(LEFT(B208,5)="09735",
    IF(ISNA(VLOOKUP(Tabla1313[[#This Row],[Apoyo]],'LM SAP'!A:G,1,FALSE)),
        "No Disponible",
        IF(VLOOKUP(Tabla1313[[#This Row],[Apoyo]],'LM SAP'!A:AD,9,FALSE)="RR",
            "Disponible",
            "Firmas SAP"
        )
    ),
    "CONSULTAR"
)</f>
        <v>No Disponible</v>
      </c>
      <c r="Q208" s="63" t="str">
        <f>MID(Tabla1313[[#This Row],[Código Indra]],1,13)</f>
        <v>0973545082004</v>
      </c>
      <c r="R208" s="121" t="s">
        <v>255</v>
      </c>
      <c r="S208" s="63" t="str">
        <f>IF(ISNA(VLOOKUP(Tabla1313[[#This Row],[Código Indra]],#REF!,1,FALSE)),"NO", "SI")</f>
        <v>SI</v>
      </c>
      <c r="T208" s="91"/>
      <c r="U208" t="s">
        <v>256</v>
      </c>
      <c r="V208" s="110" t="e">
        <f>VLOOKUP(Tabla1313[[#This Row],[Apoyo]],'LM SAP'!A:I,9,FALSE)</f>
        <v>#N/A</v>
      </c>
      <c r="W208" s="110" t="e">
        <f>VLOOKUP(Tabla1313[[#This Row],[Código Indra]],#REF!,1,FALSE)</f>
        <v>#REF!</v>
      </c>
    </row>
    <row r="209" spans="1:23" s="110" customFormat="1" ht="45" x14ac:dyDescent="0.25">
      <c r="A209" s="64">
        <v>263</v>
      </c>
      <c r="B209" s="61" t="s">
        <v>875</v>
      </c>
      <c r="C209" s="76" t="s">
        <v>876</v>
      </c>
      <c r="D209" s="64" t="s">
        <v>862</v>
      </c>
      <c r="E209" s="76" t="s">
        <v>877</v>
      </c>
      <c r="F209" s="64">
        <v>1</v>
      </c>
      <c r="G209" s="61" t="s">
        <v>234</v>
      </c>
      <c r="H209" s="64"/>
      <c r="I209" s="64" t="s">
        <v>591</v>
      </c>
      <c r="J209" s="64" t="s">
        <v>474</v>
      </c>
      <c r="K209" s="213" t="s">
        <v>262</v>
      </c>
      <c r="L209" s="191">
        <v>60005170</v>
      </c>
      <c r="M209" s="192">
        <v>45621</v>
      </c>
      <c r="N209" s="192">
        <v>45636</v>
      </c>
      <c r="O209" s="181" t="s">
        <v>878</v>
      </c>
      <c r="P209" s="220" t="str">
        <f>IF(LEFT(B209,5)="09735",
    IF(ISNA(VLOOKUP(Tabla1313[[#This Row],[Apoyo]],'LM SAP'!A:G,1,FALSE)),
        "No Disponible",
        IF(VLOOKUP(Tabla1313[[#This Row],[Apoyo]],'LM SAP'!A:AD,9,FALSE)="RR",
            "Disponible",
            "Firmas SAP"
        )
    ),
    "CONSULTAR"
)</f>
        <v>No Disponible</v>
      </c>
      <c r="Q209" s="63" t="str">
        <f>MID(Tabla1313[[#This Row],[Código Indra]],1,13)</f>
        <v>0973545082005</v>
      </c>
      <c r="R209" s="121" t="s">
        <v>255</v>
      </c>
      <c r="S209" s="63" t="str">
        <f>IF(ISNA(VLOOKUP(Tabla1313[[#This Row],[Código Indra]],#REF!,1,FALSE)),"NO", "SI")</f>
        <v>SI</v>
      </c>
      <c r="T209" s="91"/>
      <c r="U209" t="s">
        <v>256</v>
      </c>
      <c r="V209" s="110" t="e">
        <f>VLOOKUP(Tabla1313[[#This Row],[Apoyo]],'LM SAP'!A:I,9,FALSE)</f>
        <v>#N/A</v>
      </c>
      <c r="W209" s="110" t="e">
        <f>VLOOKUP(Tabla1313[[#This Row],[Código Indra]],#REF!,1,FALSE)</f>
        <v>#REF!</v>
      </c>
    </row>
    <row r="210" spans="1:23" s="110" customFormat="1" ht="45" x14ac:dyDescent="0.25">
      <c r="A210" s="64">
        <v>264</v>
      </c>
      <c r="B210" s="64" t="s">
        <v>879</v>
      </c>
      <c r="C210" s="75" t="s">
        <v>880</v>
      </c>
      <c r="D210" s="61" t="s">
        <v>862</v>
      </c>
      <c r="E210" s="75" t="s">
        <v>881</v>
      </c>
      <c r="F210" s="64">
        <v>1</v>
      </c>
      <c r="G210" s="61" t="s">
        <v>234</v>
      </c>
      <c r="H210" s="64"/>
      <c r="I210" s="61" t="s">
        <v>591</v>
      </c>
      <c r="J210" s="64" t="s">
        <v>474</v>
      </c>
      <c r="K210" s="213" t="s">
        <v>262</v>
      </c>
      <c r="L210" s="191">
        <v>60005171</v>
      </c>
      <c r="M210" s="192">
        <v>45621</v>
      </c>
      <c r="N210" s="192">
        <v>45636</v>
      </c>
      <c r="O210" s="181" t="s">
        <v>882</v>
      </c>
      <c r="P210" s="220" t="str">
        <f>IF(LEFT(B210,5)="09735",
    IF(ISNA(VLOOKUP(Tabla1313[[#This Row],[Apoyo]],'LM SAP'!A:G,1,FALSE)),
        "No Disponible",
        IF(VLOOKUP(Tabla1313[[#This Row],[Apoyo]],'LM SAP'!A:AD,9,FALSE)="RR",
            "Disponible",
            "Firmas SAP"
        )
    ),
    "CONSULTAR"
)</f>
        <v>No Disponible</v>
      </c>
      <c r="Q210" s="63" t="str">
        <f>MID(Tabla1313[[#This Row],[Código Indra]],1,13)</f>
        <v>0973545082006</v>
      </c>
      <c r="R210" s="121" t="s">
        <v>255</v>
      </c>
      <c r="S210" s="63" t="str">
        <f>IF(ISNA(VLOOKUP(Tabla1313[[#This Row],[Código Indra]],#REF!,1,FALSE)),"NO", "SI")</f>
        <v>SI</v>
      </c>
      <c r="T210" s="91"/>
      <c r="U210" t="s">
        <v>256</v>
      </c>
      <c r="V210" s="110" t="e">
        <f>VLOOKUP(Tabla1313[[#This Row],[Apoyo]],'LM SAP'!A:I,9,FALSE)</f>
        <v>#N/A</v>
      </c>
      <c r="W210" s="110" t="e">
        <f>VLOOKUP(Tabla1313[[#This Row],[Código Indra]],#REF!,1,FALSE)</f>
        <v>#REF!</v>
      </c>
    </row>
    <row r="211" spans="1:23" s="110" customFormat="1" ht="45" x14ac:dyDescent="0.25">
      <c r="A211" s="64">
        <v>265</v>
      </c>
      <c r="B211" s="61" t="s">
        <v>883</v>
      </c>
      <c r="C211" s="76" t="s">
        <v>884</v>
      </c>
      <c r="D211" s="64" t="s">
        <v>862</v>
      </c>
      <c r="E211" s="76" t="s">
        <v>885</v>
      </c>
      <c r="F211" s="64">
        <v>1</v>
      </c>
      <c r="G211" s="61" t="s">
        <v>234</v>
      </c>
      <c r="H211" s="64"/>
      <c r="I211" s="64" t="s">
        <v>591</v>
      </c>
      <c r="J211" s="64" t="s">
        <v>474</v>
      </c>
      <c r="K211" s="213" t="s">
        <v>215</v>
      </c>
      <c r="L211" s="222">
        <v>60005172</v>
      </c>
      <c r="M211" s="223">
        <v>45621</v>
      </c>
      <c r="N211" s="192"/>
      <c r="O211" s="148" t="s">
        <v>886</v>
      </c>
      <c r="P211" s="220" t="str">
        <f>IF(LEFT(B211,5)="09735",
    IF(ISNA(VLOOKUP(Tabla1313[[#This Row],[Apoyo]],'LM SAP'!A:G,1,FALSE)),
        "No Disponible",
        IF(VLOOKUP(Tabla1313[[#This Row],[Apoyo]],'LM SAP'!A:AD,9,FALSE)="RR",
            "Disponible",
            "Firmas SAP"
        )
    ),
    "CONSULTAR"
)</f>
        <v>No Disponible</v>
      </c>
      <c r="Q211" s="63" t="str">
        <f>MID(Tabla1313[[#This Row],[Código Indra]],1,13)</f>
        <v>0973545082007</v>
      </c>
      <c r="R211" s="121" t="s">
        <v>255</v>
      </c>
      <c r="S211" s="63" t="str">
        <f>IF(ISNA(VLOOKUP(Tabla1313[[#This Row],[Código Indra]],#REF!,1,FALSE)),"NO", "SI")</f>
        <v>SI</v>
      </c>
      <c r="T211" s="91"/>
      <c r="U211" t="s">
        <v>256</v>
      </c>
      <c r="V211" s="110" t="e">
        <f>VLOOKUP(Tabla1313[[#This Row],[Apoyo]],'LM SAP'!A:I,9,FALSE)</f>
        <v>#N/A</v>
      </c>
      <c r="W211" s="110" t="e">
        <f>VLOOKUP(Tabla1313[[#This Row],[Código Indra]],#REF!,1,FALSE)</f>
        <v>#REF!</v>
      </c>
    </row>
    <row r="212" spans="1:23" s="110" customFormat="1" ht="45" x14ac:dyDescent="0.25">
      <c r="A212" s="64">
        <v>266</v>
      </c>
      <c r="B212" s="64" t="s">
        <v>887</v>
      </c>
      <c r="C212" s="75" t="s">
        <v>888</v>
      </c>
      <c r="D212" s="61" t="s">
        <v>862</v>
      </c>
      <c r="E212" s="75" t="s">
        <v>889</v>
      </c>
      <c r="F212" s="64">
        <v>1</v>
      </c>
      <c r="G212" s="61" t="s">
        <v>234</v>
      </c>
      <c r="H212" s="64"/>
      <c r="I212" s="61" t="s">
        <v>591</v>
      </c>
      <c r="J212" s="64" t="s">
        <v>474</v>
      </c>
      <c r="K212" s="213" t="s">
        <v>262</v>
      </c>
      <c r="L212" s="191">
        <v>60005173</v>
      </c>
      <c r="M212" s="192">
        <v>45621</v>
      </c>
      <c r="N212" s="192">
        <v>45636</v>
      </c>
      <c r="O212" s="181" t="s">
        <v>890</v>
      </c>
      <c r="P212" s="220" t="str">
        <f>IF(LEFT(B212,5)="09735",
    IF(ISNA(VLOOKUP(Tabla1313[[#This Row],[Apoyo]],'LM SAP'!A:G,1,FALSE)),
        "No Disponible",
        IF(VLOOKUP(Tabla1313[[#This Row],[Apoyo]],'LM SAP'!A:AD,9,FALSE)="RR",
            "Disponible",
            "Firmas SAP"
        )
    ),
    "CONSULTAR"
)</f>
        <v>No Disponible</v>
      </c>
      <c r="Q212" s="63" t="str">
        <f>MID(Tabla1313[[#This Row],[Código Indra]],1,13)</f>
        <v>0973545082008</v>
      </c>
      <c r="R212" s="121" t="s">
        <v>255</v>
      </c>
      <c r="S212" s="63" t="str">
        <f>IF(ISNA(VLOOKUP(Tabla1313[[#This Row],[Código Indra]],#REF!,1,FALSE)),"NO", "SI")</f>
        <v>SI</v>
      </c>
      <c r="T212" s="91"/>
      <c r="U212" t="s">
        <v>256</v>
      </c>
      <c r="V212" s="110" t="e">
        <f>VLOOKUP(Tabla1313[[#This Row],[Apoyo]],'LM SAP'!A:I,9,FALSE)</f>
        <v>#N/A</v>
      </c>
      <c r="W212" s="110" t="e">
        <f>VLOOKUP(Tabla1313[[#This Row],[Código Indra]],#REF!,1,FALSE)</f>
        <v>#REF!</v>
      </c>
    </row>
    <row r="213" spans="1:23" s="110" customFormat="1" x14ac:dyDescent="0.25">
      <c r="A213" s="64">
        <v>267</v>
      </c>
      <c r="B213" s="61" t="s">
        <v>891</v>
      </c>
      <c r="C213" s="76" t="s">
        <v>892</v>
      </c>
      <c r="D213" s="64"/>
      <c r="E213" s="76"/>
      <c r="F213" s="64">
        <v>1</v>
      </c>
      <c r="G213" s="61" t="s">
        <v>260</v>
      </c>
      <c r="H213" s="61" t="s">
        <v>261</v>
      </c>
      <c r="I213" s="64" t="s">
        <v>560</v>
      </c>
      <c r="J213" s="64" t="s">
        <v>474</v>
      </c>
      <c r="K213" s="184" t="s">
        <v>221</v>
      </c>
      <c r="L213" s="191">
        <v>60004496</v>
      </c>
      <c r="M213" s="192">
        <v>45566</v>
      </c>
      <c r="N213" s="192">
        <v>45573</v>
      </c>
      <c r="O213" s="201" t="s">
        <v>281</v>
      </c>
      <c r="P213" s="226" t="str">
        <f>IF(LEFT(B213,5)="09735",
    IF(ISNA(VLOOKUP(Tabla1313[[#This Row],[Apoyo]],'LM SAP'!A:G,1,FALSE)),
        "No Disponible",
        IF(VLOOKUP(Tabla1313[[#This Row],[Apoyo]],'LM SAP'!A:AD,9,FALSE)="RR",
            "Disponible",
            "Firmas SAP"
        )
    ),
    "CONSULTAR"
)</f>
        <v>CONSULTAR</v>
      </c>
      <c r="Q213" s="165" t="str">
        <f>MID(Tabla1313[[#This Row],[Código Indra]],1,13)</f>
        <v>0972845042300</v>
      </c>
      <c r="R213" s="121" t="s">
        <v>255</v>
      </c>
      <c r="S213" s="165" t="str">
        <f>IF(ISNA(VLOOKUP(Tabla1313[[#This Row],[Código Indra]],#REF!,1,FALSE)),"NO", "SI")</f>
        <v>SI</v>
      </c>
      <c r="T213" s="7" t="s">
        <v>289</v>
      </c>
      <c r="U213" t="s">
        <v>256</v>
      </c>
      <c r="V213" s="110" t="e">
        <f>VLOOKUP(Tabla1313[[#This Row],[Apoyo]],'LM SAP'!A:I,9,FALSE)</f>
        <v>#N/A</v>
      </c>
      <c r="W213" s="110" t="e">
        <f>VLOOKUP(Tabla1313[[#This Row],[Código Indra]],#REF!,1,FALSE)</f>
        <v>#REF!</v>
      </c>
    </row>
    <row r="214" spans="1:23" s="110" customFormat="1" ht="36.75" x14ac:dyDescent="0.25">
      <c r="A214" s="64">
        <v>268</v>
      </c>
      <c r="B214" s="64" t="s">
        <v>893</v>
      </c>
      <c r="C214" s="75" t="s">
        <v>894</v>
      </c>
      <c r="D214" s="64"/>
      <c r="E214" s="75" t="s">
        <v>895</v>
      </c>
      <c r="F214" s="64">
        <v>1</v>
      </c>
      <c r="G214" s="61" t="s">
        <v>260</v>
      </c>
      <c r="H214" s="61" t="s">
        <v>261</v>
      </c>
      <c r="I214" s="61" t="s">
        <v>560</v>
      </c>
      <c r="J214" s="64" t="s">
        <v>474</v>
      </c>
      <c r="K214" s="213" t="s">
        <v>221</v>
      </c>
      <c r="L214" s="191">
        <v>60004497</v>
      </c>
      <c r="M214" s="192">
        <v>45566</v>
      </c>
      <c r="N214" s="192">
        <v>45581</v>
      </c>
      <c r="O214" s="265" t="s">
        <v>896</v>
      </c>
      <c r="P214" s="220" t="str">
        <f>IF(LEFT(B214,5)="09735",
    IF(ISNA(VLOOKUP(Tabla1313[[#This Row],[Apoyo]],'LM SAP'!A:G,1,FALSE)),
        "No Disponible",
        IF(VLOOKUP(Tabla1313[[#This Row],[Apoyo]],'LM SAP'!A:AD,9,FALSE)="RR",
            "Disponible",
            "Firmas SAP"
        )
    ),
    "CONSULTAR"
)</f>
        <v>CONSULTAR</v>
      </c>
      <c r="Q214" s="63" t="str">
        <f>MID(Tabla1313[[#This Row],[Código Indra]],1,13)</f>
        <v>0972845042400</v>
      </c>
      <c r="R214" s="121" t="s">
        <v>255</v>
      </c>
      <c r="S214" s="63" t="str">
        <f>IF(ISNA(VLOOKUP(Tabla1313[[#This Row],[Código Indra]],#REF!,1,FALSE)),"NO", "SI")</f>
        <v>SI</v>
      </c>
      <c r="T214" s="91"/>
      <c r="U214">
        <v>0</v>
      </c>
      <c r="V214" s="110" t="e">
        <f>VLOOKUP(Tabla1313[[#This Row],[Apoyo]],'LM SAP'!A:I,9,FALSE)</f>
        <v>#N/A</v>
      </c>
      <c r="W214" s="110" t="e">
        <f>VLOOKUP(Tabla1313[[#This Row],[Código Indra]],#REF!,1,FALSE)</f>
        <v>#REF!</v>
      </c>
    </row>
    <row r="215" spans="1:23" s="110" customFormat="1" ht="36.75" x14ac:dyDescent="0.25">
      <c r="A215" s="64">
        <v>269</v>
      </c>
      <c r="B215" s="61" t="s">
        <v>897</v>
      </c>
      <c r="C215" s="76" t="s">
        <v>898</v>
      </c>
      <c r="D215" s="64"/>
      <c r="E215" s="76" t="s">
        <v>899</v>
      </c>
      <c r="F215" s="64">
        <v>1</v>
      </c>
      <c r="G215" s="61" t="s">
        <v>260</v>
      </c>
      <c r="H215" s="61" t="s">
        <v>261</v>
      </c>
      <c r="I215" s="64" t="s">
        <v>560</v>
      </c>
      <c r="J215" s="64" t="s">
        <v>474</v>
      </c>
      <c r="K215" s="213" t="s">
        <v>219</v>
      </c>
      <c r="L215" s="191">
        <v>60004498</v>
      </c>
      <c r="M215" s="192">
        <v>45566</v>
      </c>
      <c r="N215" s="192">
        <v>45581</v>
      </c>
      <c r="O215" s="265" t="s">
        <v>900</v>
      </c>
      <c r="P215" s="220" t="str">
        <f>IF(LEFT(B215,5)="09735",
    IF(ISNA(VLOOKUP(Tabla1313[[#This Row],[Apoyo]],'LM SAP'!A:G,1,FALSE)),
        "No Disponible",
        IF(VLOOKUP(Tabla1313[[#This Row],[Apoyo]],'LM SAP'!A:AD,9,FALSE)="RR",
            "Disponible",
            "Firmas SAP"
        )
    ),
    "CONSULTAR"
)</f>
        <v>CONSULTAR</v>
      </c>
      <c r="Q215" s="63" t="str">
        <f>MID(Tabla1313[[#This Row],[Código Indra]],1,13)</f>
        <v>0972845042500</v>
      </c>
      <c r="R215" s="121" t="s">
        <v>255</v>
      </c>
      <c r="S215" s="63" t="str">
        <f>IF(ISNA(VLOOKUP(Tabla1313[[#This Row],[Código Indra]],#REF!,1,FALSE)),"NO", "SI")</f>
        <v>SI</v>
      </c>
      <c r="T215" s="91"/>
      <c r="U215" t="s">
        <v>256</v>
      </c>
      <c r="V215" s="110" t="e">
        <f>VLOOKUP(Tabla1313[[#This Row],[Apoyo]],'LM SAP'!A:I,9,FALSE)</f>
        <v>#N/A</v>
      </c>
      <c r="W215" s="110" t="e">
        <f>VLOOKUP(Tabla1313[[#This Row],[Código Indra]],#REF!,1,FALSE)</f>
        <v>#REF!</v>
      </c>
    </row>
    <row r="216" spans="1:23" s="110" customFormat="1" x14ac:dyDescent="0.25">
      <c r="A216" s="64">
        <v>270</v>
      </c>
      <c r="B216" s="61" t="s">
        <v>901</v>
      </c>
      <c r="C216" s="75" t="s">
        <v>902</v>
      </c>
      <c r="D216" s="64"/>
      <c r="E216" s="76"/>
      <c r="F216" s="64">
        <v>1</v>
      </c>
      <c r="G216" s="61" t="s">
        <v>260</v>
      </c>
      <c r="H216" s="61" t="s">
        <v>261</v>
      </c>
      <c r="I216" s="61" t="s">
        <v>251</v>
      </c>
      <c r="J216" s="64" t="s">
        <v>474</v>
      </c>
      <c r="K216" s="213" t="s">
        <v>217</v>
      </c>
      <c r="L216" s="191">
        <v>60004539</v>
      </c>
      <c r="M216" s="192">
        <v>45568</v>
      </c>
      <c r="N216" s="192">
        <v>45580</v>
      </c>
      <c r="O216" s="202" t="s">
        <v>281</v>
      </c>
      <c r="P216" s="220" t="str">
        <f>IF(LEFT(B216,5)="09735",
    IF(ISNA(VLOOKUP(Tabla1313[[#This Row],[Apoyo]],'LM SAP'!A:G,1,FALSE)),
        "No Disponible",
        IF(VLOOKUP(Tabla1313[[#This Row],[Apoyo]],'LM SAP'!A:AD,9,FALSE)="RR",
            "Disponible",
            "Firmas SAP"
        )
    ),
    "CONSULTAR"
)</f>
        <v>No Disponible</v>
      </c>
      <c r="Q216" s="63" t="str">
        <f>MID(Tabla1313[[#This Row],[Código Indra]],1,13)</f>
        <v>0973521000000</v>
      </c>
      <c r="R216" s="121" t="s">
        <v>260</v>
      </c>
      <c r="S216" s="63" t="str">
        <f>IF(ISNA(VLOOKUP(Tabla1313[[#This Row],[Código Indra]],#REF!,1,FALSE)),"NO", "SI")</f>
        <v>SI</v>
      </c>
      <c r="T216" s="91"/>
      <c r="U216" t="s">
        <v>260</v>
      </c>
      <c r="V216" s="110" t="e">
        <f>VLOOKUP(Tabla1313[[#This Row],[Apoyo]],'LM SAP'!A:I,9,FALSE)</f>
        <v>#N/A</v>
      </c>
      <c r="W216" s="110" t="e">
        <f>VLOOKUP(Tabla1313[[#This Row],[Código Indra]],#REF!,1,FALSE)</f>
        <v>#REF!</v>
      </c>
    </row>
    <row r="217" spans="1:23" s="110" customFormat="1" x14ac:dyDescent="0.25">
      <c r="A217" s="64">
        <v>271</v>
      </c>
      <c r="B217" s="61" t="s">
        <v>903</v>
      </c>
      <c r="C217" s="76" t="s">
        <v>904</v>
      </c>
      <c r="D217" s="64"/>
      <c r="E217" s="76"/>
      <c r="F217" s="64">
        <v>1</v>
      </c>
      <c r="G217" s="61" t="s">
        <v>260</v>
      </c>
      <c r="H217" s="61" t="s">
        <v>261</v>
      </c>
      <c r="I217" s="64" t="s">
        <v>276</v>
      </c>
      <c r="J217" s="64"/>
      <c r="K217" s="213" t="s">
        <v>213</v>
      </c>
      <c r="L217" s="191"/>
      <c r="M217" s="192"/>
      <c r="N217" s="192"/>
      <c r="O217" s="262"/>
      <c r="P217" s="220" t="str">
        <f>IF(LEFT(B217,5)="09735",
    IF(ISNA(VLOOKUP(Tabla1313[[#This Row],[Apoyo]],'LM SAP'!A:G,1,FALSE)),
        "No Disponible",
        IF(VLOOKUP(Tabla1313[[#This Row],[Apoyo]],'LM SAP'!A:AD,9,FALSE)="RR",
            "Disponible",
            "Firmas SAP"
        )
    ),
    "CONSULTAR"
)</f>
        <v>No Disponible</v>
      </c>
      <c r="Q217" s="63" t="str">
        <f>MID(Tabla1313[[#This Row],[Código Indra]],1,13)</f>
        <v>0973525310200</v>
      </c>
      <c r="R217" s="121" t="s">
        <v>255</v>
      </c>
      <c r="S217" s="63" t="str">
        <f>IF(ISNA(VLOOKUP(Tabla1313[[#This Row],[Código Indra]],#REF!,1,FALSE)),"NO", "SI")</f>
        <v>SI</v>
      </c>
      <c r="T217" s="91"/>
      <c r="U217" t="s">
        <v>260</v>
      </c>
      <c r="V217" s="110" t="e">
        <f>VLOOKUP(Tabla1313[[#This Row],[Apoyo]],'LM SAP'!A:I,9,FALSE)</f>
        <v>#N/A</v>
      </c>
      <c r="W217" s="110" t="e">
        <f>VLOOKUP(Tabla1313[[#This Row],[Código Indra]],#REF!,1,FALSE)</f>
        <v>#REF!</v>
      </c>
    </row>
    <row r="218" spans="1:23" s="110" customFormat="1" ht="30" x14ac:dyDescent="0.25">
      <c r="A218" s="64">
        <v>272</v>
      </c>
      <c r="B218" s="64" t="s">
        <v>905</v>
      </c>
      <c r="C218" s="75" t="s">
        <v>906</v>
      </c>
      <c r="D218" s="64"/>
      <c r="E218" s="75" t="s">
        <v>907</v>
      </c>
      <c r="F218" s="64">
        <v>1</v>
      </c>
      <c r="G218" s="61" t="s">
        <v>260</v>
      </c>
      <c r="H218" s="61" t="s">
        <v>261</v>
      </c>
      <c r="I218" s="61" t="s">
        <v>276</v>
      </c>
      <c r="J218" s="64"/>
      <c r="K218" s="213" t="s">
        <v>212</v>
      </c>
      <c r="L218" s="191"/>
      <c r="M218" s="192"/>
      <c r="N218" s="192"/>
      <c r="O218" s="266"/>
      <c r="P218" s="220" t="str">
        <f>IF(LEFT(B218,5)="09735",
    IF(ISNA(VLOOKUP(Tabla1313[[#This Row],[Apoyo]],'LM SAP'!A:G,1,FALSE)),
        "No Disponible",
        IF(VLOOKUP(Tabla1313[[#This Row],[Apoyo]],'LM SAP'!A:AD,9,FALSE)="RR",
            "Disponible",
            "Firmas SAP"
        )
    ),
    "CONSULTAR"
)</f>
        <v>Disponible</v>
      </c>
      <c r="Q218" s="63" t="str">
        <f>MID(Tabla1313[[#This Row],[Código Indra]],1,13)</f>
        <v>0973545036000</v>
      </c>
      <c r="R218" s="121" t="s">
        <v>255</v>
      </c>
      <c r="S218" s="63" t="str">
        <f>IF(ISNA(VLOOKUP(Tabla1313[[#This Row],[Código Indra]],#REF!,1,FALSE)),"NO", "SI")</f>
        <v>SI</v>
      </c>
      <c r="T218" s="91"/>
      <c r="U218" t="s">
        <v>256</v>
      </c>
      <c r="V218" s="110" t="str">
        <f>VLOOKUP(Tabla1313[[#This Row],[Apoyo]],'LM SAP'!A:I,9,FALSE)</f>
        <v>RR</v>
      </c>
      <c r="W218" s="110" t="e">
        <f>VLOOKUP(Tabla1313[[#This Row],[Código Indra]],#REF!,1,FALSE)</f>
        <v>#REF!</v>
      </c>
    </row>
    <row r="219" spans="1:23" s="110" customFormat="1" ht="30" x14ac:dyDescent="0.25">
      <c r="A219" s="64">
        <v>273</v>
      </c>
      <c r="B219" s="61" t="s">
        <v>908</v>
      </c>
      <c r="C219" s="76" t="s">
        <v>909</v>
      </c>
      <c r="D219" s="64"/>
      <c r="E219" s="75" t="s">
        <v>910</v>
      </c>
      <c r="F219" s="64">
        <v>1</v>
      </c>
      <c r="G219" s="61" t="s">
        <v>260</v>
      </c>
      <c r="H219" s="61" t="s">
        <v>261</v>
      </c>
      <c r="I219" s="64" t="s">
        <v>276</v>
      </c>
      <c r="J219" s="64" t="s">
        <v>474</v>
      </c>
      <c r="K219" s="213" t="s">
        <v>212</v>
      </c>
      <c r="L219" s="191"/>
      <c r="M219" s="192"/>
      <c r="N219" s="192"/>
      <c r="O219" s="262"/>
      <c r="P219" s="220" t="str">
        <f>IF(LEFT(B219,5)="09735",
    IF(ISNA(VLOOKUP(Tabla1313[[#This Row],[Apoyo]],'LM SAP'!A:G,1,FALSE)),
        "No Disponible",
        IF(VLOOKUP(Tabla1313[[#This Row],[Apoyo]],'LM SAP'!A:AD,9,FALSE)="RR",
            "Disponible",
            "Firmas SAP"
        )
    ),
    "CONSULTAR"
)</f>
        <v>No Disponible</v>
      </c>
      <c r="Q219" s="63" t="str">
        <f>MID(Tabla1313[[#This Row],[Código Indra]],1,13)</f>
        <v>0973545036100</v>
      </c>
      <c r="R219" s="121" t="s">
        <v>255</v>
      </c>
      <c r="S219" s="63" t="str">
        <f>IF(ISNA(VLOOKUP(Tabla1313[[#This Row],[Código Indra]],#REF!,1,FALSE)),"NO", "SI")</f>
        <v>SI</v>
      </c>
      <c r="T219" s="91"/>
      <c r="U219" t="s">
        <v>256</v>
      </c>
      <c r="V219" s="110" t="e">
        <f>VLOOKUP(Tabla1313[[#This Row],[Apoyo]],'LM SAP'!A:I,9,FALSE)</f>
        <v>#N/A</v>
      </c>
      <c r="W219" s="110" t="e">
        <f>VLOOKUP(Tabla1313[[#This Row],[Código Indra]],#REF!,1,FALSE)</f>
        <v>#REF!</v>
      </c>
    </row>
    <row r="220" spans="1:23" s="110" customFormat="1" ht="30" x14ac:dyDescent="0.25">
      <c r="A220" s="64">
        <v>274</v>
      </c>
      <c r="B220" s="64" t="s">
        <v>911</v>
      </c>
      <c r="C220" s="75" t="s">
        <v>912</v>
      </c>
      <c r="D220" s="64"/>
      <c r="E220" s="75" t="s">
        <v>913</v>
      </c>
      <c r="F220" s="64">
        <v>1</v>
      </c>
      <c r="G220" s="61" t="s">
        <v>260</v>
      </c>
      <c r="H220" s="61" t="s">
        <v>261</v>
      </c>
      <c r="I220" s="61" t="s">
        <v>276</v>
      </c>
      <c r="J220" s="64" t="s">
        <v>474</v>
      </c>
      <c r="K220" s="213" t="s">
        <v>212</v>
      </c>
      <c r="L220" s="191"/>
      <c r="M220" s="192"/>
      <c r="N220" s="192"/>
      <c r="O220" s="266"/>
      <c r="P220" s="220" t="str">
        <f>IF(LEFT(B220,5)="09735",
    IF(ISNA(VLOOKUP(Tabla1313[[#This Row],[Apoyo]],'LM SAP'!A:G,1,FALSE)),
        "No Disponible",
        IF(VLOOKUP(Tabla1313[[#This Row],[Apoyo]],'LM SAP'!A:AD,9,FALSE)="RR",
            "Disponible",
            "Firmas SAP"
        )
    ),
    "CONSULTAR"
)</f>
        <v>No Disponible</v>
      </c>
      <c r="Q220" s="63" t="str">
        <f>MID(Tabla1313[[#This Row],[Código Indra]],1,13)</f>
        <v>0973545036200</v>
      </c>
      <c r="R220" s="121" t="s">
        <v>255</v>
      </c>
      <c r="S220" s="63" t="str">
        <f>IF(ISNA(VLOOKUP(Tabla1313[[#This Row],[Código Indra]],#REF!,1,FALSE)),"NO", "SI")</f>
        <v>SI</v>
      </c>
      <c r="T220" s="91"/>
      <c r="U220" t="s">
        <v>256</v>
      </c>
      <c r="V220" s="110" t="e">
        <f>VLOOKUP(Tabla1313[[#This Row],[Apoyo]],'LM SAP'!A:I,9,FALSE)</f>
        <v>#N/A</v>
      </c>
      <c r="W220" s="110" t="e">
        <f>VLOOKUP(Tabla1313[[#This Row],[Código Indra]],#REF!,1,FALSE)</f>
        <v>#REF!</v>
      </c>
    </row>
    <row r="221" spans="1:23" s="110" customFormat="1" ht="30" x14ac:dyDescent="0.25">
      <c r="A221" s="64">
        <v>275</v>
      </c>
      <c r="B221" s="61" t="s">
        <v>914</v>
      </c>
      <c r="C221" s="76" t="s">
        <v>915</v>
      </c>
      <c r="D221" s="64"/>
      <c r="E221" s="76" t="s">
        <v>916</v>
      </c>
      <c r="F221" s="64">
        <v>1</v>
      </c>
      <c r="G221" s="61" t="s">
        <v>260</v>
      </c>
      <c r="H221" s="61" t="s">
        <v>261</v>
      </c>
      <c r="I221" s="64" t="s">
        <v>591</v>
      </c>
      <c r="J221" s="64" t="s">
        <v>474</v>
      </c>
      <c r="K221" s="213" t="s">
        <v>212</v>
      </c>
      <c r="L221" s="191"/>
      <c r="M221" s="192"/>
      <c r="N221" s="192"/>
      <c r="O221" s="262"/>
      <c r="P221" s="220" t="str">
        <f>IF(LEFT(B221,5)="09735",
    IF(ISNA(VLOOKUP(Tabla1313[[#This Row],[Apoyo]],'LM SAP'!A:G,1,FALSE)),
        "No Disponible",
        IF(VLOOKUP(Tabla1313[[#This Row],[Apoyo]],'LM SAP'!A:AD,9,FALSE)="RR",
            "Disponible",
            "Firmas SAP"
        )
    ),
    "CONSULTAR"
)</f>
        <v>No Disponible</v>
      </c>
      <c r="Q221" s="63" t="str">
        <f>MID(Tabla1313[[#This Row],[Código Indra]],1,13)</f>
        <v>0973545050100</v>
      </c>
      <c r="R221" s="121" t="s">
        <v>255</v>
      </c>
      <c r="S221" s="63" t="str">
        <f>IF(ISNA(VLOOKUP(Tabla1313[[#This Row],[Código Indra]],#REF!,1,FALSE)),"NO", "SI")</f>
        <v>SI</v>
      </c>
      <c r="T221" s="91"/>
      <c r="U221" t="s">
        <v>474</v>
      </c>
      <c r="V221" s="110" t="e">
        <f>VLOOKUP(Tabla1313[[#This Row],[Apoyo]],'LM SAP'!A:I,9,FALSE)</f>
        <v>#N/A</v>
      </c>
      <c r="W221" s="110" t="e">
        <f>VLOOKUP(Tabla1313[[#This Row],[Código Indra]],#REF!,1,FALSE)</f>
        <v>#REF!</v>
      </c>
    </row>
    <row r="222" spans="1:23" s="110" customFormat="1" ht="30" x14ac:dyDescent="0.25">
      <c r="A222" s="64">
        <v>276</v>
      </c>
      <c r="B222" s="64" t="s">
        <v>917</v>
      </c>
      <c r="C222" s="75" t="s">
        <v>918</v>
      </c>
      <c r="D222" s="61" t="s">
        <v>919</v>
      </c>
      <c r="E222" s="75" t="s">
        <v>920</v>
      </c>
      <c r="F222" s="64">
        <v>1</v>
      </c>
      <c r="G222" s="61" t="s">
        <v>234</v>
      </c>
      <c r="H222" s="64"/>
      <c r="I222" s="61" t="s">
        <v>591</v>
      </c>
      <c r="J222" s="64"/>
      <c r="K222" s="184" t="s">
        <v>221</v>
      </c>
      <c r="L222" s="191">
        <v>60004843</v>
      </c>
      <c r="M222" s="192">
        <v>45607</v>
      </c>
      <c r="N222" s="192">
        <v>45616</v>
      </c>
      <c r="O222" s="235" t="s">
        <v>281</v>
      </c>
      <c r="P222" s="226" t="str">
        <f>IF(LEFT(B222,5)="09735",
    IF(ISNA(VLOOKUP(Tabla1313[[#This Row],[Apoyo]],'LM SAP'!A:G,1,FALSE)),
        "No Disponible",
        IF(VLOOKUP(Tabla1313[[#This Row],[Apoyo]],'LM SAP'!A:AD,9,FALSE)="RR",
            "Disponible",
            "Firmas SAP"
        )
    ),
    "CONSULTAR"
)</f>
        <v>No Disponible</v>
      </c>
      <c r="Q222" s="165" t="str">
        <f>MID(Tabla1313[[#This Row],[Código Indra]],1,13)</f>
        <v>0973545050200</v>
      </c>
      <c r="R222" s="121" t="s">
        <v>255</v>
      </c>
      <c r="S222" s="165" t="str">
        <f>IF(ISNA(VLOOKUP(Tabla1313[[#This Row],[Código Indra]],#REF!,1,FALSE)),"NO", "SI")</f>
        <v>SI</v>
      </c>
      <c r="T222" s="8"/>
      <c r="U222" t="s">
        <v>256</v>
      </c>
      <c r="V222" s="110" t="e">
        <f>VLOOKUP(Tabla1313[[#This Row],[Apoyo]],'LM SAP'!A:I,9,FALSE)</f>
        <v>#N/A</v>
      </c>
      <c r="W222" s="110" t="e">
        <f>VLOOKUP(Tabla1313[[#This Row],[Código Indra]],#REF!,1,FALSE)</f>
        <v>#REF!</v>
      </c>
    </row>
    <row r="223" spans="1:23" s="110" customFormat="1" ht="72" x14ac:dyDescent="0.25">
      <c r="A223" s="64">
        <v>277</v>
      </c>
      <c r="B223" s="61" t="s">
        <v>921</v>
      </c>
      <c r="C223" s="76" t="s">
        <v>922</v>
      </c>
      <c r="D223" s="64" t="s">
        <v>116</v>
      </c>
      <c r="E223" s="76" t="s">
        <v>923</v>
      </c>
      <c r="F223" s="64">
        <v>1</v>
      </c>
      <c r="G223" s="61" t="s">
        <v>234</v>
      </c>
      <c r="H223" s="61" t="s">
        <v>275</v>
      </c>
      <c r="I223" s="64" t="s">
        <v>591</v>
      </c>
      <c r="J223" s="64"/>
      <c r="K223" s="213" t="s">
        <v>219</v>
      </c>
      <c r="L223" s="191">
        <v>60004844</v>
      </c>
      <c r="M223" s="192">
        <v>45607</v>
      </c>
      <c r="N223" s="192">
        <v>45616</v>
      </c>
      <c r="O223" s="235" t="s">
        <v>924</v>
      </c>
      <c r="P223" s="220" t="str">
        <f>IF(LEFT(B223,5)="09735",
    IF(ISNA(VLOOKUP(Tabla1313[[#This Row],[Apoyo]],'LM SAP'!A:G,1,FALSE)),
        "No Disponible",
        IF(VLOOKUP(Tabla1313[[#This Row],[Apoyo]],'LM SAP'!A:AD,9,FALSE)="RR",
            "Disponible",
            "Firmas SAP"
        )
    ),
    "CONSULTAR"
)</f>
        <v>No Disponible</v>
      </c>
      <c r="Q223" s="63" t="str">
        <f>MID(Tabla1313[[#This Row],[Código Indra]],1,13)</f>
        <v>0973545050300</v>
      </c>
      <c r="R223" s="121" t="s">
        <v>255</v>
      </c>
      <c r="S223" s="63" t="str">
        <f>IF(ISNA(VLOOKUP(Tabla1313[[#This Row],[Código Indra]],#REF!,1,FALSE)),"NO", "SI")</f>
        <v>SI</v>
      </c>
      <c r="T223" s="91"/>
      <c r="U223" t="s">
        <v>256</v>
      </c>
      <c r="V223" s="110" t="e">
        <f>VLOOKUP(Tabla1313[[#This Row],[Apoyo]],'LM SAP'!A:I,9,FALSE)</f>
        <v>#N/A</v>
      </c>
      <c r="W223" s="110" t="e">
        <f>VLOOKUP(Tabla1313[[#This Row],[Código Indra]],#REF!,1,FALSE)</f>
        <v>#REF!</v>
      </c>
    </row>
    <row r="224" spans="1:23" s="110" customFormat="1" ht="30" x14ac:dyDescent="0.25">
      <c r="A224" s="64">
        <v>278</v>
      </c>
      <c r="B224" s="64" t="s">
        <v>925</v>
      </c>
      <c r="C224" s="75" t="s">
        <v>926</v>
      </c>
      <c r="D224" s="64"/>
      <c r="E224" s="75" t="s">
        <v>927</v>
      </c>
      <c r="F224" s="64">
        <v>1</v>
      </c>
      <c r="G224" s="61" t="s">
        <v>234</v>
      </c>
      <c r="H224" s="61" t="s">
        <v>275</v>
      </c>
      <c r="I224" s="61" t="s">
        <v>591</v>
      </c>
      <c r="J224" s="64"/>
      <c r="K224" s="213" t="s">
        <v>221</v>
      </c>
      <c r="L224" s="191">
        <v>60004845</v>
      </c>
      <c r="M224" s="192">
        <v>45607</v>
      </c>
      <c r="N224" s="192">
        <v>45622</v>
      </c>
      <c r="O224" s="219" t="s">
        <v>568</v>
      </c>
      <c r="P224" s="220" t="str">
        <f>IF(LEFT(B224,5)="09735",
    IF(ISNA(VLOOKUP(Tabla1313[[#This Row],[Apoyo]],'LM SAP'!A:G,1,FALSE)),
        "No Disponible",
        IF(VLOOKUP(Tabla1313[[#This Row],[Apoyo]],'LM SAP'!A:AD,9,FALSE)="RR",
            "Disponible",
            "Firmas SAP"
        )
    ),
    "CONSULTAR"
)</f>
        <v>No Disponible</v>
      </c>
      <c r="Q224" s="63" t="str">
        <f>MID(Tabla1313[[#This Row],[Código Indra]],1,13)</f>
        <v>0973545050400</v>
      </c>
      <c r="R224" s="121" t="s">
        <v>255</v>
      </c>
      <c r="S224" s="63" t="str">
        <f>IF(ISNA(VLOOKUP(Tabla1313[[#This Row],[Código Indra]],#REF!,1,FALSE)),"NO", "SI")</f>
        <v>SI</v>
      </c>
      <c r="T224" s="91"/>
      <c r="U224" t="s">
        <v>256</v>
      </c>
      <c r="V224" s="110" t="e">
        <f>VLOOKUP(Tabla1313[[#This Row],[Apoyo]],'LM SAP'!A:I,9,FALSE)</f>
        <v>#N/A</v>
      </c>
      <c r="W224" s="110" t="e">
        <f>VLOOKUP(Tabla1313[[#This Row],[Código Indra]],#REF!,1,FALSE)</f>
        <v>#REF!</v>
      </c>
    </row>
    <row r="225" spans="1:23" ht="30" x14ac:dyDescent="0.25">
      <c r="A225" s="64">
        <v>279</v>
      </c>
      <c r="B225" s="61" t="s">
        <v>928</v>
      </c>
      <c r="C225" s="76" t="s">
        <v>929</v>
      </c>
      <c r="D225" s="64"/>
      <c r="E225" s="76" t="s">
        <v>930</v>
      </c>
      <c r="F225" s="64">
        <v>1</v>
      </c>
      <c r="G225" s="61" t="s">
        <v>260</v>
      </c>
      <c r="H225" s="61" t="s">
        <v>261</v>
      </c>
      <c r="I225" s="64" t="s">
        <v>591</v>
      </c>
      <c r="J225" s="64"/>
      <c r="K225" s="213" t="s">
        <v>219</v>
      </c>
      <c r="L225" s="191">
        <v>60004846</v>
      </c>
      <c r="M225" s="192">
        <v>45607</v>
      </c>
      <c r="N225" s="192">
        <v>45631</v>
      </c>
      <c r="O225" s="242" t="s">
        <v>711</v>
      </c>
      <c r="P225" s="263" t="str">
        <f>IF(LEFT(B225,5)="09735",
    IF(ISNA(VLOOKUP(Tabla1313[[#This Row],[Apoyo]],'LM SAP'!A:G,1,FALSE)),
        "No Disponible",
        IF(VLOOKUP(Tabla1313[[#This Row],[Apoyo]],'LM SAP'!A:AD,9,FALSE)="RR",
            "Disponible",
            "Firmas SAP"
        )
    ),
    "CONSULTAR"
)</f>
        <v>No Disponible</v>
      </c>
      <c r="Q225" s="65" t="str">
        <f>MID(Tabla1313[[#This Row],[Código Indra]],1,13)</f>
        <v>0973545050500</v>
      </c>
      <c r="R225" s="121" t="s">
        <v>255</v>
      </c>
      <c r="S225" s="65" t="str">
        <f>IF(ISNA(VLOOKUP(Tabla1313[[#This Row],[Código Indra]],#REF!,1,FALSE)),"NO", "SI")</f>
        <v>SI</v>
      </c>
      <c r="T225" s="124"/>
      <c r="U225" t="s">
        <v>256</v>
      </c>
      <c r="V225" t="e">
        <f>VLOOKUP(Tabla1313[[#This Row],[Apoyo]],'LM SAP'!A:I,9,FALSE)</f>
        <v>#N/A</v>
      </c>
      <c r="W225" t="e">
        <f>VLOOKUP(Tabla1313[[#This Row],[Código Indra]],#REF!,1,FALSE)</f>
        <v>#REF!</v>
      </c>
    </row>
    <row r="226" spans="1:23" s="110" customFormat="1" ht="30" x14ac:dyDescent="0.25">
      <c r="A226" s="64">
        <v>280</v>
      </c>
      <c r="B226" s="64" t="s">
        <v>931</v>
      </c>
      <c r="C226" s="75" t="s">
        <v>932</v>
      </c>
      <c r="D226" s="267" t="s">
        <v>53</v>
      </c>
      <c r="E226" s="75" t="s">
        <v>933</v>
      </c>
      <c r="F226" s="64">
        <v>1</v>
      </c>
      <c r="G226" s="61" t="s">
        <v>260</v>
      </c>
      <c r="H226" s="61" t="s">
        <v>261</v>
      </c>
      <c r="I226" s="61" t="s">
        <v>591</v>
      </c>
      <c r="J226" s="64"/>
      <c r="K226" s="213" t="s">
        <v>212</v>
      </c>
      <c r="L226" s="191"/>
      <c r="M226" s="192"/>
      <c r="N226" s="192"/>
      <c r="O226" s="266"/>
      <c r="P226" s="220" t="str">
        <f>IF(LEFT(B226,5)="09735",
    IF(ISNA(VLOOKUP(Tabla1313[[#This Row],[Apoyo]],'LM SAP'!A:G,1,FALSE)),
        "No Disponible",
        IF(VLOOKUP(Tabla1313[[#This Row],[Apoyo]],'LM SAP'!A:AD,9,FALSE)="RR",
            "Disponible",
            "Firmas SAP"
        )
    ),
    "CONSULTAR"
)</f>
        <v>No Disponible</v>
      </c>
      <c r="Q226" s="63" t="str">
        <f>MID(Tabla1313[[#This Row],[Código Indra]],1,13)</f>
        <v>0973545050600</v>
      </c>
      <c r="R226" s="121" t="s">
        <v>255</v>
      </c>
      <c r="S226" s="63" t="str">
        <f>IF(ISNA(VLOOKUP(Tabla1313[[#This Row],[Código Indra]],#REF!,1,FALSE)),"NO", "SI")</f>
        <v>SI</v>
      </c>
      <c r="T226" s="91"/>
      <c r="U226" t="s">
        <v>256</v>
      </c>
      <c r="V226" s="110" t="e">
        <f>VLOOKUP(Tabla1313[[#This Row],[Apoyo]],'LM SAP'!A:I,9,FALSE)</f>
        <v>#N/A</v>
      </c>
      <c r="W226" s="110" t="e">
        <f>VLOOKUP(Tabla1313[[#This Row],[Código Indra]],#REF!,1,FALSE)</f>
        <v>#REF!</v>
      </c>
    </row>
    <row r="227" spans="1:23" s="110" customFormat="1" ht="36" x14ac:dyDescent="0.25">
      <c r="A227" s="64">
        <v>281</v>
      </c>
      <c r="B227" s="61" t="s">
        <v>934</v>
      </c>
      <c r="C227" s="76" t="s">
        <v>904</v>
      </c>
      <c r="D227" s="64"/>
      <c r="E227" s="76" t="s">
        <v>935</v>
      </c>
      <c r="F227" s="64">
        <v>1</v>
      </c>
      <c r="G227" s="61" t="s">
        <v>260</v>
      </c>
      <c r="H227" s="61" t="s">
        <v>261</v>
      </c>
      <c r="I227" s="64" t="s">
        <v>591</v>
      </c>
      <c r="J227" s="64"/>
      <c r="K227" s="213" t="s">
        <v>262</v>
      </c>
      <c r="L227" s="191">
        <v>60004847</v>
      </c>
      <c r="M227" s="192">
        <v>45607</v>
      </c>
      <c r="N227" s="192">
        <v>45631</v>
      </c>
      <c r="O227" s="242" t="s">
        <v>936</v>
      </c>
      <c r="P227" s="220" t="str">
        <f>IF(LEFT(B227,5)="09735",
    IF(ISNA(VLOOKUP(Tabla1313[[#This Row],[Apoyo]],'LM SAP'!A:G,1,FALSE)),
        "No Disponible",
        IF(VLOOKUP(Tabla1313[[#This Row],[Apoyo]],'LM SAP'!A:AD,9,FALSE)="RR",
            "Disponible",
            "Firmas SAP"
        )
    ),
    "CONSULTAR"
)</f>
        <v>No Disponible</v>
      </c>
      <c r="Q227" s="63" t="str">
        <f>MID(Tabla1313[[#This Row],[Código Indra]],1,13)</f>
        <v>0973545050700</v>
      </c>
      <c r="R227" s="121" t="s">
        <v>255</v>
      </c>
      <c r="S227" s="63" t="str">
        <f>IF(ISNA(VLOOKUP(Tabla1313[[#This Row],[Código Indra]],#REF!,1,FALSE)),"NO", "SI")</f>
        <v>SI</v>
      </c>
      <c r="T227" s="91"/>
      <c r="U227" t="s">
        <v>256</v>
      </c>
      <c r="V227" s="110" t="e">
        <f>VLOOKUP(Tabla1313[[#This Row],[Apoyo]],'LM SAP'!A:I,9,FALSE)</f>
        <v>#N/A</v>
      </c>
      <c r="W227" s="110" t="e">
        <f>VLOOKUP(Tabla1313[[#This Row],[Código Indra]],#REF!,1,FALSE)</f>
        <v>#REF!</v>
      </c>
    </row>
    <row r="228" spans="1:23" s="130" customFormat="1" ht="30" x14ac:dyDescent="0.25">
      <c r="A228" s="64">
        <v>101</v>
      </c>
      <c r="B228" s="64" t="s">
        <v>937</v>
      </c>
      <c r="C228" s="75" t="s">
        <v>938</v>
      </c>
      <c r="D228" s="64"/>
      <c r="E228" s="75" t="s">
        <v>939</v>
      </c>
      <c r="F228" s="64">
        <v>1</v>
      </c>
      <c r="G228" s="61" t="s">
        <v>234</v>
      </c>
      <c r="H228" s="61" t="s">
        <v>250</v>
      </c>
      <c r="I228" s="61" t="s">
        <v>251</v>
      </c>
      <c r="J228" s="64" t="s">
        <v>474</v>
      </c>
      <c r="K228" s="213" t="s">
        <v>217</v>
      </c>
      <c r="L228" s="222">
        <v>60005073</v>
      </c>
      <c r="M228" s="223">
        <v>45616</v>
      </c>
      <c r="N228" s="192">
        <v>45636</v>
      </c>
      <c r="O228" s="181" t="s">
        <v>300</v>
      </c>
      <c r="P228" s="218" t="str">
        <f>IF(LEFT(B228,5)="09735",
    IF(ISNA(VLOOKUP(Tabla1313[[#This Row],[Apoyo]],'LM SAP'!A:G,1,FALSE)),
        "No Disponible",
        IF(VLOOKUP(Tabla1313[[#This Row],[Apoyo]],'LM SAP'!A:AD,9,FALSE)="RR",
            "Disponible",
            "Firmas SAP"
        )
    ),
    "CONSULTAR"
)</f>
        <v>No Disponible</v>
      </c>
      <c r="Q228" s="127" t="str">
        <f>MID(Tabla1313[[#This Row],[Código Indra]],1,13)</f>
        <v>0973524330200</v>
      </c>
      <c r="R228" s="131" t="s">
        <v>255</v>
      </c>
      <c r="S228" s="127" t="str">
        <f>IF(ISNA(VLOOKUP(Tabla1313[[#This Row],[Código Indra]],#REF!,1,FALSE)),"NO", "SI")</f>
        <v>SI</v>
      </c>
      <c r="T228" s="129"/>
      <c r="U228" s="130" t="s">
        <v>256</v>
      </c>
      <c r="V228" s="130" t="e">
        <f>VLOOKUP(Tabla1313[[#This Row],[Apoyo]],'LM SAP'!A:I,9,FALSE)</f>
        <v>#N/A</v>
      </c>
      <c r="W228" s="130" t="e">
        <f>VLOOKUP(Tabla1313[[#This Row],[Código Indra]],#REF!,1,FALSE)</f>
        <v>#REF!</v>
      </c>
    </row>
    <row r="229" spans="1:23" s="110" customFormat="1" ht="30" x14ac:dyDescent="0.25">
      <c r="A229" s="64">
        <v>283</v>
      </c>
      <c r="B229" s="61" t="s">
        <v>940</v>
      </c>
      <c r="C229" s="76" t="s">
        <v>941</v>
      </c>
      <c r="D229" s="64"/>
      <c r="E229" s="76" t="s">
        <v>942</v>
      </c>
      <c r="F229" s="64">
        <v>1</v>
      </c>
      <c r="G229" s="61" t="s">
        <v>234</v>
      </c>
      <c r="H229" s="61" t="s">
        <v>480</v>
      </c>
      <c r="I229" s="64" t="s">
        <v>591</v>
      </c>
      <c r="J229" s="64" t="s">
        <v>474</v>
      </c>
      <c r="K229" s="213" t="s">
        <v>221</v>
      </c>
      <c r="L229" s="191">
        <v>60004848</v>
      </c>
      <c r="M229" s="192">
        <v>45607</v>
      </c>
      <c r="N229" s="192">
        <v>45622</v>
      </c>
      <c r="O229" s="219" t="s">
        <v>568</v>
      </c>
      <c r="P229" s="220" t="str">
        <f>IF(LEFT(B229,5)="09735",
    IF(ISNA(VLOOKUP(Tabla1313[[#This Row],[Apoyo]],'LM SAP'!A:G,1,FALSE)),
        "No Disponible",
        IF(VLOOKUP(Tabla1313[[#This Row],[Apoyo]],'LM SAP'!A:AD,9,FALSE)="RR",
            "Disponible",
            "Firmas SAP"
        )
    ),
    "CONSULTAR"
)</f>
        <v>No Disponible</v>
      </c>
      <c r="Q229" s="63" t="str">
        <f>MID(Tabla1313[[#This Row],[Código Indra]],1,13)</f>
        <v>0973545051100</v>
      </c>
      <c r="R229" s="121" t="s">
        <v>255</v>
      </c>
      <c r="S229" s="63" t="str">
        <f>IF(ISNA(VLOOKUP(Tabla1313[[#This Row],[Código Indra]],#REF!,1,FALSE)),"NO", "SI")</f>
        <v>SI</v>
      </c>
      <c r="T229" s="91"/>
      <c r="U229" t="s">
        <v>256</v>
      </c>
      <c r="V229" s="110" t="e">
        <f>VLOOKUP(Tabla1313[[#This Row],[Apoyo]],'LM SAP'!A:I,9,FALSE)</f>
        <v>#N/A</v>
      </c>
      <c r="W229" s="110" t="e">
        <f>VLOOKUP(Tabla1313[[#This Row],[Código Indra]],#REF!,1,FALSE)</f>
        <v>#REF!</v>
      </c>
    </row>
    <row r="230" spans="1:23" s="110" customFormat="1" ht="30" x14ac:dyDescent="0.25">
      <c r="A230" s="64">
        <v>284</v>
      </c>
      <c r="B230" s="64" t="s">
        <v>943</v>
      </c>
      <c r="C230" s="75" t="s">
        <v>944</v>
      </c>
      <c r="D230" s="64"/>
      <c r="E230" s="75" t="s">
        <v>945</v>
      </c>
      <c r="F230" s="64">
        <v>1</v>
      </c>
      <c r="G230" s="61" t="s">
        <v>234</v>
      </c>
      <c r="H230" s="64"/>
      <c r="I230" s="61" t="s">
        <v>591</v>
      </c>
      <c r="J230" s="64" t="s">
        <v>474</v>
      </c>
      <c r="K230" s="184" t="s">
        <v>221</v>
      </c>
      <c r="L230" s="191">
        <v>60004849</v>
      </c>
      <c r="M230" s="192">
        <v>45607</v>
      </c>
      <c r="N230" s="192">
        <v>45624</v>
      </c>
      <c r="O230" s="226" t="s">
        <v>281</v>
      </c>
      <c r="P230" s="226" t="str">
        <f>IF(LEFT(B230,5)="09735",
    IF(ISNA(VLOOKUP(Tabla1313[[#This Row],[Apoyo]],'LM SAP'!A:G,1,FALSE)),
        "No Disponible",
        IF(VLOOKUP(Tabla1313[[#This Row],[Apoyo]],'LM SAP'!A:AD,9,FALSE)="RR",
            "Disponible",
            "Firmas SAP"
        )
    ),
    "CONSULTAR"
)</f>
        <v>No Disponible</v>
      </c>
      <c r="Q230" s="165" t="str">
        <f>MID(Tabla1313[[#This Row],[Código Indra]],1,13)</f>
        <v>0973545051200</v>
      </c>
      <c r="R230" s="121" t="s">
        <v>255</v>
      </c>
      <c r="S230" s="165" t="str">
        <f>IF(ISNA(VLOOKUP(Tabla1313[[#This Row],[Código Indra]],#REF!,1,FALSE)),"NO", "SI")</f>
        <v>SI</v>
      </c>
      <c r="T230" s="8"/>
      <c r="U230" t="s">
        <v>256</v>
      </c>
      <c r="V230" s="110" t="e">
        <f>VLOOKUP(Tabla1313[[#This Row],[Apoyo]],'LM SAP'!A:I,9,FALSE)</f>
        <v>#N/A</v>
      </c>
      <c r="W230" s="110" t="e">
        <f>VLOOKUP(Tabla1313[[#This Row],[Código Indra]],#REF!,1,FALSE)</f>
        <v>#REF!</v>
      </c>
    </row>
    <row r="231" spans="1:23" s="110" customFormat="1" ht="30" x14ac:dyDescent="0.25">
      <c r="A231" s="64">
        <v>285</v>
      </c>
      <c r="B231" s="61" t="s">
        <v>946</v>
      </c>
      <c r="C231" s="76" t="s">
        <v>947</v>
      </c>
      <c r="D231" s="76" t="s">
        <v>948</v>
      </c>
      <c r="E231" s="76" t="s">
        <v>949</v>
      </c>
      <c r="F231" s="64">
        <v>1</v>
      </c>
      <c r="G231" s="61" t="s">
        <v>234</v>
      </c>
      <c r="H231" s="64"/>
      <c r="I231" s="64" t="s">
        <v>591</v>
      </c>
      <c r="J231" s="64" t="s">
        <v>474</v>
      </c>
      <c r="K231" s="213" t="s">
        <v>219</v>
      </c>
      <c r="L231" s="191">
        <v>60004850</v>
      </c>
      <c r="M231" s="192">
        <v>45607</v>
      </c>
      <c r="N231" s="192">
        <v>45624</v>
      </c>
      <c r="O231" s="232" t="s">
        <v>281</v>
      </c>
      <c r="P231" s="220" t="str">
        <f>IF(LEFT(B231,5)="09735",
    IF(ISNA(VLOOKUP(Tabla1313[[#This Row],[Apoyo]],'LM SAP'!A:G,1,FALSE)),
        "No Disponible",
        IF(VLOOKUP(Tabla1313[[#This Row],[Apoyo]],'LM SAP'!A:AD,9,FALSE)="RR",
            "Disponible",
            "Firmas SAP"
        )
    ),
    "CONSULTAR"
)</f>
        <v>No Disponible</v>
      </c>
      <c r="Q231" s="63" t="str">
        <f>MID(Tabla1313[[#This Row],[Código Indra]],1,13)</f>
        <v>0973545051300</v>
      </c>
      <c r="R231" s="121" t="s">
        <v>255</v>
      </c>
      <c r="S231" s="63" t="str">
        <f>IF(ISNA(VLOOKUP(Tabla1313[[#This Row],[Código Indra]],#REF!,1,FALSE)),"NO", "SI")</f>
        <v>SI</v>
      </c>
      <c r="T231" s="91"/>
      <c r="U231" t="s">
        <v>256</v>
      </c>
      <c r="V231" s="110" t="e">
        <f>VLOOKUP(Tabla1313[[#This Row],[Apoyo]],'LM SAP'!A:I,9,FALSE)</f>
        <v>#N/A</v>
      </c>
      <c r="W231" s="110" t="e">
        <f>VLOOKUP(Tabla1313[[#This Row],[Código Indra]],#REF!,1,FALSE)</f>
        <v>#REF!</v>
      </c>
    </row>
    <row r="232" spans="1:23" s="110" customFormat="1" ht="30" x14ac:dyDescent="0.25">
      <c r="A232" s="64">
        <v>286</v>
      </c>
      <c r="B232" s="64" t="s">
        <v>950</v>
      </c>
      <c r="C232" s="75" t="s">
        <v>951</v>
      </c>
      <c r="D232" s="75" t="s">
        <v>952</v>
      </c>
      <c r="E232" s="75" t="s">
        <v>953</v>
      </c>
      <c r="F232" s="64">
        <v>1</v>
      </c>
      <c r="G232" s="61" t="s">
        <v>234</v>
      </c>
      <c r="H232" s="64"/>
      <c r="I232" s="61" t="s">
        <v>591</v>
      </c>
      <c r="J232" s="64" t="s">
        <v>474</v>
      </c>
      <c r="K232" s="184" t="s">
        <v>221</v>
      </c>
      <c r="L232" s="191">
        <v>60004851</v>
      </c>
      <c r="M232" s="192">
        <v>45607</v>
      </c>
      <c r="N232" s="192">
        <v>45624</v>
      </c>
      <c r="O232" s="226" t="s">
        <v>281</v>
      </c>
      <c r="P232" s="226" t="str">
        <f>IF(LEFT(B232,5)="09735",
    IF(ISNA(VLOOKUP(Tabla1313[[#This Row],[Apoyo]],'LM SAP'!A:G,1,FALSE)),
        "No Disponible",
        IF(VLOOKUP(Tabla1313[[#This Row],[Apoyo]],'LM SAP'!A:AD,9,FALSE)="RR",
            "Disponible",
            "Firmas SAP"
        )
    ),
    "CONSULTAR"
)</f>
        <v>No Disponible</v>
      </c>
      <c r="Q232" s="165" t="str">
        <f>MID(Tabla1313[[#This Row],[Código Indra]],1,13)</f>
        <v>0973545051400</v>
      </c>
      <c r="R232" s="121" t="s">
        <v>255</v>
      </c>
      <c r="S232" s="165" t="str">
        <f>IF(ISNA(VLOOKUP(Tabla1313[[#This Row],[Código Indra]],#REF!,1,FALSE)),"NO", "SI")</f>
        <v>SI</v>
      </c>
      <c r="T232" s="8"/>
      <c r="U232" t="s">
        <v>256</v>
      </c>
      <c r="V232" s="110" t="e">
        <f>VLOOKUP(Tabla1313[[#This Row],[Apoyo]],'LM SAP'!A:I,9,FALSE)</f>
        <v>#N/A</v>
      </c>
      <c r="W232" s="110" t="e">
        <f>VLOOKUP(Tabla1313[[#This Row],[Código Indra]],#REF!,1,FALSE)</f>
        <v>#REF!</v>
      </c>
    </row>
    <row r="233" spans="1:23" s="110" customFormat="1" ht="30" x14ac:dyDescent="0.25">
      <c r="A233" s="64">
        <v>287</v>
      </c>
      <c r="B233" s="61" t="s">
        <v>954</v>
      </c>
      <c r="C233" s="76" t="s">
        <v>955</v>
      </c>
      <c r="D233" s="64"/>
      <c r="E233" s="76" t="s">
        <v>956</v>
      </c>
      <c r="F233" s="64">
        <v>1</v>
      </c>
      <c r="G233" s="61" t="s">
        <v>260</v>
      </c>
      <c r="H233" s="61" t="s">
        <v>261</v>
      </c>
      <c r="I233" s="64" t="s">
        <v>591</v>
      </c>
      <c r="J233" s="64"/>
      <c r="K233" s="213" t="s">
        <v>219</v>
      </c>
      <c r="L233" s="222">
        <v>60004852</v>
      </c>
      <c r="M233" s="223">
        <v>45607</v>
      </c>
      <c r="N233" s="223">
        <v>45635</v>
      </c>
      <c r="O233" s="240" t="s">
        <v>281</v>
      </c>
      <c r="P233" s="220" t="str">
        <f>IF(LEFT(B233,5)="09735",
    IF(ISNA(VLOOKUP(Tabla1313[[#This Row],[Apoyo]],'LM SAP'!A:G,1,FALSE)),
        "No Disponible",
        IF(VLOOKUP(Tabla1313[[#This Row],[Apoyo]],'LM SAP'!A:AD,9,FALSE)="RR",
            "Disponible",
            "Firmas SAP"
        )
    ),
    "CONSULTAR"
)</f>
        <v>No Disponible</v>
      </c>
      <c r="Q233" s="63" t="str">
        <f>MID(Tabla1313[[#This Row],[Código Indra]],1,13)</f>
        <v>0973545051500</v>
      </c>
      <c r="R233" s="121" t="s">
        <v>255</v>
      </c>
      <c r="S233" s="63" t="str">
        <f>IF(ISNA(VLOOKUP(Tabla1313[[#This Row],[Código Indra]],#REF!,1,FALSE)),"NO", "SI")</f>
        <v>SI</v>
      </c>
      <c r="T233" s="91"/>
      <c r="U233" t="s">
        <v>256</v>
      </c>
      <c r="V233" s="110" t="e">
        <f>VLOOKUP(Tabla1313[[#This Row],[Apoyo]],'LM SAP'!A:I,9,FALSE)</f>
        <v>#N/A</v>
      </c>
      <c r="W233" s="110" t="e">
        <f>VLOOKUP(Tabla1313[[#This Row],[Código Indra]],#REF!,1,FALSE)</f>
        <v>#REF!</v>
      </c>
    </row>
    <row r="234" spans="1:23" s="110" customFormat="1" ht="30" x14ac:dyDescent="0.25">
      <c r="A234" s="64">
        <v>288</v>
      </c>
      <c r="B234" s="64" t="s">
        <v>957</v>
      </c>
      <c r="C234" s="75" t="s">
        <v>958</v>
      </c>
      <c r="D234" s="64"/>
      <c r="E234" s="75" t="s">
        <v>959</v>
      </c>
      <c r="F234" s="64">
        <v>1</v>
      </c>
      <c r="G234" s="61" t="s">
        <v>260</v>
      </c>
      <c r="H234" s="61" t="s">
        <v>261</v>
      </c>
      <c r="I234" s="61" t="s">
        <v>591</v>
      </c>
      <c r="J234" s="64"/>
      <c r="K234" s="213" t="s">
        <v>219</v>
      </c>
      <c r="L234" s="222">
        <v>60004853</v>
      </c>
      <c r="M234" s="223">
        <v>45607</v>
      </c>
      <c r="N234" s="223">
        <v>45635</v>
      </c>
      <c r="O234" s="240" t="s">
        <v>281</v>
      </c>
      <c r="P234" s="220" t="str">
        <f>IF(LEFT(B234,5)="09735",
    IF(ISNA(VLOOKUP(Tabla1313[[#This Row],[Apoyo]],'LM SAP'!A:G,1,FALSE)),
        "No Disponible",
        IF(VLOOKUP(Tabla1313[[#This Row],[Apoyo]],'LM SAP'!A:AD,9,FALSE)="RR",
            "Disponible",
            "Firmas SAP"
        )
    ),
    "CONSULTAR"
)</f>
        <v>No Disponible</v>
      </c>
      <c r="Q234" s="63" t="str">
        <f>MID(Tabla1313[[#This Row],[Código Indra]],1,13)</f>
        <v>0973545051600</v>
      </c>
      <c r="R234" s="121" t="s">
        <v>255</v>
      </c>
      <c r="S234" s="63" t="str">
        <f>IF(ISNA(VLOOKUP(Tabla1313[[#This Row],[Código Indra]],#REF!,1,FALSE)),"NO", "SI")</f>
        <v>SI</v>
      </c>
      <c r="T234" s="91"/>
      <c r="U234" t="s">
        <v>256</v>
      </c>
      <c r="V234" s="110" t="e">
        <f>VLOOKUP(Tabla1313[[#This Row],[Apoyo]],'LM SAP'!A:I,9,FALSE)</f>
        <v>#N/A</v>
      </c>
      <c r="W234" s="110" t="e">
        <f>VLOOKUP(Tabla1313[[#This Row],[Código Indra]],#REF!,1,FALSE)</f>
        <v>#REF!</v>
      </c>
    </row>
    <row r="235" spans="1:23" s="110" customFormat="1" ht="30" x14ac:dyDescent="0.25">
      <c r="A235" s="64">
        <v>289</v>
      </c>
      <c r="B235" s="61" t="s">
        <v>960</v>
      </c>
      <c r="C235" s="76" t="s">
        <v>961</v>
      </c>
      <c r="D235" s="64"/>
      <c r="E235" s="76" t="s">
        <v>962</v>
      </c>
      <c r="F235" s="64">
        <v>1</v>
      </c>
      <c r="G235" s="61" t="s">
        <v>260</v>
      </c>
      <c r="H235" s="61" t="s">
        <v>261</v>
      </c>
      <c r="I235" s="64" t="s">
        <v>591</v>
      </c>
      <c r="J235" s="64"/>
      <c r="K235" s="213" t="s">
        <v>217</v>
      </c>
      <c r="L235" s="222">
        <v>60004854</v>
      </c>
      <c r="M235" s="223">
        <v>45607</v>
      </c>
      <c r="N235" s="223">
        <v>45635</v>
      </c>
      <c r="O235" s="240" t="s">
        <v>281</v>
      </c>
      <c r="P235" s="220" t="str">
        <f>IF(LEFT(B235,5)="09735",
    IF(ISNA(VLOOKUP(Tabla1313[[#This Row],[Apoyo]],'LM SAP'!A:G,1,FALSE)),
        "No Disponible",
        IF(VLOOKUP(Tabla1313[[#This Row],[Apoyo]],'LM SAP'!A:AD,9,FALSE)="RR",
            "Disponible",
            "Firmas SAP"
        )
    ),
    "CONSULTAR"
)</f>
        <v>No Disponible</v>
      </c>
      <c r="Q235" s="63" t="str">
        <f>MID(Tabla1313[[#This Row],[Código Indra]],1,13)</f>
        <v>0973545051700</v>
      </c>
      <c r="R235" s="121" t="s">
        <v>255</v>
      </c>
      <c r="S235" s="63" t="str">
        <f>IF(ISNA(VLOOKUP(Tabla1313[[#This Row],[Código Indra]],#REF!,1,FALSE)),"NO", "SI")</f>
        <v>SI</v>
      </c>
      <c r="T235" s="91"/>
      <c r="U235" t="s">
        <v>256</v>
      </c>
      <c r="V235" s="110" t="e">
        <f>VLOOKUP(Tabla1313[[#This Row],[Apoyo]],'LM SAP'!A:I,9,FALSE)</f>
        <v>#N/A</v>
      </c>
      <c r="W235" s="110" t="e">
        <f>VLOOKUP(Tabla1313[[#This Row],[Código Indra]],#REF!,1,FALSE)</f>
        <v>#REF!</v>
      </c>
    </row>
    <row r="236" spans="1:23" s="110" customFormat="1" ht="30" x14ac:dyDescent="0.25">
      <c r="A236" s="64">
        <v>290</v>
      </c>
      <c r="B236" s="64" t="s">
        <v>963</v>
      </c>
      <c r="C236" s="75" t="s">
        <v>964</v>
      </c>
      <c r="D236" s="64"/>
      <c r="E236" s="75" t="s">
        <v>965</v>
      </c>
      <c r="F236" s="64">
        <v>1</v>
      </c>
      <c r="G236" s="61" t="s">
        <v>622</v>
      </c>
      <c r="H236" s="61" t="s">
        <v>275</v>
      </c>
      <c r="I236" s="61" t="s">
        <v>276</v>
      </c>
      <c r="J236" s="64"/>
      <c r="K236" s="213" t="s">
        <v>215</v>
      </c>
      <c r="L236" s="222">
        <v>60004900</v>
      </c>
      <c r="M236" s="223"/>
      <c r="N236" s="192"/>
      <c r="O236" s="268" t="s">
        <v>966</v>
      </c>
      <c r="P236" s="220" t="str">
        <f>IF(LEFT(B236,5)="09735",
    IF(ISNA(VLOOKUP(Tabla1313[[#This Row],[Apoyo]],'LM SAP'!A:G,1,FALSE)),
        "No Disponible",
        IF(VLOOKUP(Tabla1313[[#This Row],[Apoyo]],'LM SAP'!A:AD,9,FALSE)="RR",
            "Disponible",
            "Firmas SAP"
        )
    ),
    "CONSULTAR"
)</f>
        <v>No Disponible</v>
      </c>
      <c r="Q236" s="63" t="str">
        <f>MID(Tabla1313[[#This Row],[Código Indra]],1,13)</f>
        <v>0973564310100</v>
      </c>
      <c r="R236" s="121" t="s">
        <v>255</v>
      </c>
      <c r="S236" s="63" t="str">
        <f>IF(ISNA(VLOOKUP(Tabla1313[[#This Row],[Código Indra]],#REF!,1,FALSE)),"NO", "SI")</f>
        <v>SI</v>
      </c>
      <c r="T236" s="91"/>
      <c r="U236">
        <v>0</v>
      </c>
      <c r="V236" s="110" t="e">
        <f>VLOOKUP(Tabla1313[[#This Row],[Apoyo]],'LM SAP'!A:I,9,FALSE)</f>
        <v>#N/A</v>
      </c>
      <c r="W236" s="110" t="e">
        <f>VLOOKUP(Tabla1313[[#This Row],[Código Indra]],#REF!,1,FALSE)</f>
        <v>#REF!</v>
      </c>
    </row>
    <row r="237" spans="1:23" s="110" customFormat="1" ht="30" x14ac:dyDescent="0.25">
      <c r="A237" s="64">
        <v>291</v>
      </c>
      <c r="B237" s="61" t="s">
        <v>967</v>
      </c>
      <c r="C237" s="76" t="s">
        <v>968</v>
      </c>
      <c r="D237" s="64"/>
      <c r="E237" s="76" t="s">
        <v>969</v>
      </c>
      <c r="F237" s="64">
        <v>5</v>
      </c>
      <c r="G237" s="61" t="s">
        <v>234</v>
      </c>
      <c r="H237" s="61" t="s">
        <v>428</v>
      </c>
      <c r="I237" s="64"/>
      <c r="J237" s="64"/>
      <c r="K237" s="213" t="s">
        <v>217</v>
      </c>
      <c r="L237" s="191">
        <v>60004603</v>
      </c>
      <c r="M237" s="192">
        <v>45581</v>
      </c>
      <c r="N237" s="192">
        <v>45629</v>
      </c>
      <c r="O237" s="219" t="s">
        <v>281</v>
      </c>
      <c r="P237" s="220" t="str">
        <f>IF(LEFT(B237,5)="09735",
    IF(ISNA(VLOOKUP(Tabla1313[[#This Row],[Apoyo]],'LM SAP'!A:G,1,FALSE)),
        "No Disponible",
        IF(VLOOKUP(Tabla1313[[#This Row],[Apoyo]],'LM SAP'!A:AD,9,FALSE)="RR",
            "Disponible",
            "Firmas SAP"
        )
    ),
    "CONSULTAR"
)</f>
        <v>No Disponible</v>
      </c>
      <c r="Q237" s="63" t="str">
        <f>MID(Tabla1313[[#This Row],[Código Indra]],1,13)</f>
        <v>0973530110000</v>
      </c>
      <c r="R237" s="121" t="s">
        <v>255</v>
      </c>
      <c r="S237" s="63" t="str">
        <f>IF(ISNA(VLOOKUP(Tabla1313[[#This Row],[Código Indra]],#REF!,1,FALSE)),"NO", "SI")</f>
        <v>SI</v>
      </c>
      <c r="T237" s="91"/>
      <c r="U237" t="s">
        <v>255</v>
      </c>
      <c r="V237" s="110" t="e">
        <f>VLOOKUP(Tabla1313[[#This Row],[Apoyo]],'LM SAP'!A:I,9,FALSE)</f>
        <v>#N/A</v>
      </c>
      <c r="W237" s="110" t="e">
        <f>VLOOKUP(Tabla1313[[#This Row],[Código Indra]],#REF!,1,FALSE)</f>
        <v>#REF!</v>
      </c>
    </row>
    <row r="238" spans="1:23" s="110" customFormat="1" ht="30" x14ac:dyDescent="0.25">
      <c r="A238" s="64">
        <v>292</v>
      </c>
      <c r="B238" s="64" t="s">
        <v>970</v>
      </c>
      <c r="C238" s="75" t="s">
        <v>971</v>
      </c>
      <c r="D238" s="64"/>
      <c r="E238" s="75" t="s">
        <v>972</v>
      </c>
      <c r="F238" s="64">
        <v>5</v>
      </c>
      <c r="G238" s="61" t="s">
        <v>234</v>
      </c>
      <c r="H238" s="61" t="s">
        <v>428</v>
      </c>
      <c r="I238" s="64"/>
      <c r="J238" s="64"/>
      <c r="K238" s="213" t="s">
        <v>217</v>
      </c>
      <c r="L238" s="222">
        <v>60004604</v>
      </c>
      <c r="M238" s="223">
        <v>45581</v>
      </c>
      <c r="N238" s="223">
        <v>45635</v>
      </c>
      <c r="O238" s="240" t="s">
        <v>281</v>
      </c>
      <c r="P238" s="220" t="str">
        <f>IF(LEFT(B238,5)="09735",
    IF(ISNA(VLOOKUP(Tabla1313[[#This Row],[Apoyo]],'LM SAP'!A:G,1,FALSE)),
        "No Disponible",
        IF(VLOOKUP(Tabla1313[[#This Row],[Apoyo]],'LM SAP'!A:AD,9,FALSE)="RR",
            "Disponible",
            "Firmas SAP"
        )
    ),
    "CONSULTAR"
)</f>
        <v>No Disponible</v>
      </c>
      <c r="Q238" s="63" t="str">
        <f>MID(Tabla1313[[#This Row],[Código Indra]],1,13)</f>
        <v>0973530111000</v>
      </c>
      <c r="R238" s="121" t="s">
        <v>255</v>
      </c>
      <c r="S238" s="63" t="str">
        <f>IF(ISNA(VLOOKUP(Tabla1313[[#This Row],[Código Indra]],#REF!,1,FALSE)),"NO", "SI")</f>
        <v>SI</v>
      </c>
      <c r="T238" s="91"/>
      <c r="U238" t="s">
        <v>255</v>
      </c>
      <c r="V238" s="110" t="e">
        <f>VLOOKUP(Tabla1313[[#This Row],[Apoyo]],'LM SAP'!A:I,9,FALSE)</f>
        <v>#N/A</v>
      </c>
      <c r="W238" s="110" t="e">
        <f>VLOOKUP(Tabla1313[[#This Row],[Código Indra]],#REF!,1,FALSE)</f>
        <v>#REF!</v>
      </c>
    </row>
    <row r="239" spans="1:23" s="110" customFormat="1" ht="30" x14ac:dyDescent="0.25">
      <c r="A239" s="64">
        <v>293</v>
      </c>
      <c r="B239" s="61" t="s">
        <v>973</v>
      </c>
      <c r="C239" s="76" t="s">
        <v>974</v>
      </c>
      <c r="D239" s="64"/>
      <c r="E239" s="76" t="s">
        <v>975</v>
      </c>
      <c r="F239" s="64">
        <v>5</v>
      </c>
      <c r="G239" s="61" t="s">
        <v>234</v>
      </c>
      <c r="H239" s="61" t="s">
        <v>275</v>
      </c>
      <c r="I239" s="64"/>
      <c r="J239" s="64"/>
      <c r="K239" s="213" t="s">
        <v>217</v>
      </c>
      <c r="L239" s="222">
        <v>60004605</v>
      </c>
      <c r="M239" s="223">
        <v>45581</v>
      </c>
      <c r="N239" s="223">
        <v>45635</v>
      </c>
      <c r="O239" s="240" t="s">
        <v>281</v>
      </c>
      <c r="P239" s="220" t="str">
        <f>IF(LEFT(B239,5)="09735",
    IF(ISNA(VLOOKUP(Tabla1313[[#This Row],[Apoyo]],'LM SAP'!A:G,1,FALSE)),
        "No Disponible",
        IF(VLOOKUP(Tabla1313[[#This Row],[Apoyo]],'LM SAP'!A:AD,9,FALSE)="RR",
            "Disponible",
            "Firmas SAP"
        )
    ),
    "CONSULTAR"
)</f>
        <v>No Disponible</v>
      </c>
      <c r="Q239" s="63" t="str">
        <f>MID(Tabla1313[[#This Row],[Código Indra]],1,13)</f>
        <v>0973530112000</v>
      </c>
      <c r="R239" s="121" t="s">
        <v>255</v>
      </c>
      <c r="S239" s="63" t="str">
        <f>IF(ISNA(VLOOKUP(Tabla1313[[#This Row],[Código Indra]],#REF!,1,FALSE)),"NO", "SI")</f>
        <v>SI</v>
      </c>
      <c r="T239" s="91"/>
      <c r="U239" t="s">
        <v>255</v>
      </c>
      <c r="V239" s="110" t="e">
        <f>VLOOKUP(Tabla1313[[#This Row],[Apoyo]],'LM SAP'!A:I,9,FALSE)</f>
        <v>#N/A</v>
      </c>
      <c r="W239" s="110" t="e">
        <f>VLOOKUP(Tabla1313[[#This Row],[Código Indra]],#REF!,1,FALSE)</f>
        <v>#REF!</v>
      </c>
    </row>
    <row r="240" spans="1:23" s="110" customFormat="1" ht="30" x14ac:dyDescent="0.25">
      <c r="A240" s="64">
        <v>294</v>
      </c>
      <c r="B240" s="64" t="s">
        <v>976</v>
      </c>
      <c r="C240" s="75" t="s">
        <v>977</v>
      </c>
      <c r="D240" s="64"/>
      <c r="E240" s="75" t="s">
        <v>978</v>
      </c>
      <c r="F240" s="64">
        <v>5</v>
      </c>
      <c r="G240" s="61" t="s">
        <v>234</v>
      </c>
      <c r="H240" s="61" t="s">
        <v>428</v>
      </c>
      <c r="I240" s="64"/>
      <c r="J240" s="64"/>
      <c r="K240" s="213" t="s">
        <v>217</v>
      </c>
      <c r="L240" s="222">
        <v>60004606</v>
      </c>
      <c r="M240" s="223">
        <v>45581</v>
      </c>
      <c r="N240" s="223">
        <v>45635</v>
      </c>
      <c r="O240" s="240" t="s">
        <v>281</v>
      </c>
      <c r="P240" s="220" t="str">
        <f>IF(LEFT(B240,5)="09735",
    IF(ISNA(VLOOKUP(Tabla1313[[#This Row],[Apoyo]],'LM SAP'!A:G,1,FALSE)),
        "No Disponible",
        IF(VLOOKUP(Tabla1313[[#This Row],[Apoyo]],'LM SAP'!A:AD,9,FALSE)="RR",
            "Disponible",
            "Firmas SAP"
        )
    ),
    "CONSULTAR"
)</f>
        <v>No Disponible</v>
      </c>
      <c r="Q240" s="63" t="str">
        <f>MID(Tabla1313[[#This Row],[Código Indra]],1,13)</f>
        <v>0973530114000</v>
      </c>
      <c r="R240" s="121" t="s">
        <v>255</v>
      </c>
      <c r="S240" s="63" t="str">
        <f>IF(ISNA(VLOOKUP(Tabla1313[[#This Row],[Código Indra]],#REF!,1,FALSE)),"NO", "SI")</f>
        <v>SI</v>
      </c>
      <c r="T240" s="91"/>
      <c r="U240" t="s">
        <v>255</v>
      </c>
      <c r="V240" s="110" t="e">
        <f>VLOOKUP(Tabla1313[[#This Row],[Apoyo]],'LM SAP'!A:I,9,FALSE)</f>
        <v>#N/A</v>
      </c>
      <c r="W240" s="110" t="e">
        <f>VLOOKUP(Tabla1313[[#This Row],[Código Indra]],#REF!,1,FALSE)</f>
        <v>#REF!</v>
      </c>
    </row>
    <row r="241" spans="1:23" s="110" customFormat="1" ht="36" x14ac:dyDescent="0.25">
      <c r="A241" s="64">
        <v>295</v>
      </c>
      <c r="B241" s="61" t="s">
        <v>979</v>
      </c>
      <c r="C241" s="76"/>
      <c r="D241" s="64"/>
      <c r="E241" s="76" t="s">
        <v>980</v>
      </c>
      <c r="F241" s="64">
        <v>1</v>
      </c>
      <c r="G241" s="61" t="s">
        <v>260</v>
      </c>
      <c r="H241" s="61" t="s">
        <v>261</v>
      </c>
      <c r="I241" s="64" t="s">
        <v>276</v>
      </c>
      <c r="J241" s="64"/>
      <c r="K241" s="213" t="s">
        <v>216</v>
      </c>
      <c r="L241" s="222">
        <v>60005081</v>
      </c>
      <c r="M241" s="223">
        <v>45616</v>
      </c>
      <c r="N241" s="192"/>
      <c r="O241" s="239" t="s">
        <v>981</v>
      </c>
      <c r="P241" s="220" t="str">
        <f>IF(LEFT(B241,5)="09735",
    IF(ISNA(VLOOKUP(Tabla1313[[#This Row],[Apoyo]],'LM SAP'!A:G,1,FALSE)),
        "No Disponible",
        IF(VLOOKUP(Tabla1313[[#This Row],[Apoyo]],'LM SAP'!A:AD,9,FALSE)="RR",
            "Disponible",
            "Firmas SAP"
        )
    ),
    "CONSULTAR"
)</f>
        <v>No Disponible</v>
      </c>
      <c r="Q241" s="63" t="str">
        <f>MID(Tabla1313[[#This Row],[Código Indra]],1,13)</f>
        <v>0973545084400</v>
      </c>
      <c r="R241" s="121" t="s">
        <v>255</v>
      </c>
      <c r="S241" s="63" t="str">
        <f>IF(ISNA(VLOOKUP(Tabla1313[[#This Row],[Código Indra]],#REF!,1,FALSE)),"NO", "SI")</f>
        <v>SI</v>
      </c>
      <c r="T241" s="91"/>
      <c r="U241" t="s">
        <v>256</v>
      </c>
      <c r="V241" s="110" t="e">
        <f>VLOOKUP(Tabla1313[[#This Row],[Apoyo]],'LM SAP'!A:I,9,FALSE)</f>
        <v>#N/A</v>
      </c>
      <c r="W241" s="110" t="e">
        <f>VLOOKUP(Tabla1313[[#This Row],[Código Indra]],#REF!,1,FALSE)</f>
        <v>#REF!</v>
      </c>
    </row>
    <row r="242" spans="1:23" s="110" customFormat="1" x14ac:dyDescent="0.25">
      <c r="A242" s="64">
        <v>297</v>
      </c>
      <c r="B242" s="64" t="s">
        <v>982</v>
      </c>
      <c r="C242" s="75" t="s">
        <v>983</v>
      </c>
      <c r="D242" s="64"/>
      <c r="E242" s="76"/>
      <c r="F242" s="64"/>
      <c r="G242" s="61" t="s">
        <v>260</v>
      </c>
      <c r="H242" s="61" t="s">
        <v>261</v>
      </c>
      <c r="I242" s="64"/>
      <c r="J242" s="64"/>
      <c r="K242" s="213" t="s">
        <v>213</v>
      </c>
      <c r="L242" s="191"/>
      <c r="M242" s="192"/>
      <c r="N242" s="192"/>
      <c r="O242" s="262"/>
      <c r="P242" s="220" t="str">
        <f>IF(LEFT(B242,5)="09735",
    IF(ISNA(VLOOKUP(Tabla1313[[#This Row],[Apoyo]],'LM SAP'!A:G,1,FALSE)),
        "No Disponible",
        IF(VLOOKUP(Tabla1313[[#This Row],[Apoyo]],'LM SAP'!A:AD,9,FALSE)="RR",
            "Disponible",
            "Firmas SAP"
        )
    ),
    "CONSULTAR"
)</f>
        <v>CONSULTAR</v>
      </c>
      <c r="Q242" s="63" t="str">
        <f>MID(Tabla1313[[#This Row],[Código Indra]],1,13)</f>
        <v>0972845037200</v>
      </c>
      <c r="R242" s="121" t="s">
        <v>260</v>
      </c>
      <c r="S242" s="63" t="str">
        <f>IF(ISNA(VLOOKUP(Tabla1313[[#This Row],[Código Indra]],#REF!,1,FALSE)),"NO", "SI")</f>
        <v>SI</v>
      </c>
      <c r="T242" s="91"/>
      <c r="U242" t="s">
        <v>260</v>
      </c>
      <c r="V242" s="110" t="e">
        <f>VLOOKUP(Tabla1313[[#This Row],[Apoyo]],'LM SAP'!A:I,9,FALSE)</f>
        <v>#N/A</v>
      </c>
      <c r="W242" s="110" t="e">
        <f>VLOOKUP(Tabla1313[[#This Row],[Código Indra]],#REF!,1,FALSE)</f>
        <v>#REF!</v>
      </c>
    </row>
    <row r="243" spans="1:23" s="110" customFormat="1" x14ac:dyDescent="0.25">
      <c r="A243" s="64">
        <v>298</v>
      </c>
      <c r="B243" s="61" t="s">
        <v>984</v>
      </c>
      <c r="C243" s="76" t="s">
        <v>983</v>
      </c>
      <c r="D243" s="64"/>
      <c r="E243" s="76"/>
      <c r="F243" s="64"/>
      <c r="G243" s="61" t="s">
        <v>260</v>
      </c>
      <c r="H243" s="61" t="s">
        <v>261</v>
      </c>
      <c r="I243" s="64"/>
      <c r="J243" s="64"/>
      <c r="K243" s="213" t="s">
        <v>213</v>
      </c>
      <c r="L243" s="191"/>
      <c r="M243" s="192"/>
      <c r="N243" s="192"/>
      <c r="O243" s="266"/>
      <c r="P243" s="220" t="str">
        <f>IF(LEFT(B243,5)="09735",
    IF(ISNA(VLOOKUP(Tabla1313[[#This Row],[Apoyo]],'LM SAP'!A:G,1,FALSE)),
        "No Disponible",
        IF(VLOOKUP(Tabla1313[[#This Row],[Apoyo]],'LM SAP'!A:AD,9,FALSE)="RR",
            "Disponible",
            "Firmas SAP"
        )
    ),
    "CONSULTAR"
)</f>
        <v>CONSULTAR</v>
      </c>
      <c r="Q243" s="63" t="str">
        <f>MID(Tabla1313[[#This Row],[Código Indra]],1,13)</f>
        <v>0972845037300</v>
      </c>
      <c r="R243" s="121" t="s">
        <v>260</v>
      </c>
      <c r="S243" s="63" t="str">
        <f>IF(ISNA(VLOOKUP(Tabla1313[[#This Row],[Código Indra]],#REF!,1,FALSE)),"NO", "SI")</f>
        <v>SI</v>
      </c>
      <c r="T243" s="91"/>
      <c r="U243" t="s">
        <v>260</v>
      </c>
      <c r="V243" s="110" t="e">
        <f>VLOOKUP(Tabla1313[[#This Row],[Apoyo]],'LM SAP'!A:I,9,FALSE)</f>
        <v>#N/A</v>
      </c>
      <c r="W243" s="110" t="e">
        <f>VLOOKUP(Tabla1313[[#This Row],[Código Indra]],#REF!,1,FALSE)</f>
        <v>#REF!</v>
      </c>
    </row>
    <row r="244" spans="1:23" s="110" customFormat="1" x14ac:dyDescent="0.25">
      <c r="A244" s="64">
        <v>299</v>
      </c>
      <c r="B244" s="64" t="s">
        <v>985</v>
      </c>
      <c r="C244" s="75" t="s">
        <v>983</v>
      </c>
      <c r="D244" s="64"/>
      <c r="E244" s="76"/>
      <c r="F244" s="64"/>
      <c r="G244" s="61" t="s">
        <v>260</v>
      </c>
      <c r="H244" s="61" t="s">
        <v>261</v>
      </c>
      <c r="I244" s="64"/>
      <c r="J244" s="64"/>
      <c r="K244" s="213" t="s">
        <v>213</v>
      </c>
      <c r="L244" s="191"/>
      <c r="M244" s="192"/>
      <c r="N244" s="192"/>
      <c r="O244" s="262"/>
      <c r="P244" s="220" t="str">
        <f>IF(LEFT(B244,5)="09735",
    IF(ISNA(VLOOKUP(Tabla1313[[#This Row],[Apoyo]],'LM SAP'!A:G,1,FALSE)),
        "No Disponible",
        IF(VLOOKUP(Tabla1313[[#This Row],[Apoyo]],'LM SAP'!A:AD,9,FALSE)="RR",
            "Disponible",
            "Firmas SAP"
        )
    ),
    "CONSULTAR"
)</f>
        <v>CONSULTAR</v>
      </c>
      <c r="Q244" s="63" t="str">
        <f>MID(Tabla1313[[#This Row],[Código Indra]],1,13)</f>
        <v>0972845037400</v>
      </c>
      <c r="R244" s="121" t="s">
        <v>260</v>
      </c>
      <c r="S244" s="63" t="str">
        <f>IF(ISNA(VLOOKUP(Tabla1313[[#This Row],[Código Indra]],#REF!,1,FALSE)),"NO", "SI")</f>
        <v>SI</v>
      </c>
      <c r="T244" s="91"/>
      <c r="U244" t="s">
        <v>260</v>
      </c>
      <c r="V244" s="110" t="e">
        <f>VLOOKUP(Tabla1313[[#This Row],[Apoyo]],'LM SAP'!A:I,9,FALSE)</f>
        <v>#N/A</v>
      </c>
      <c r="W244" s="110" t="e">
        <f>VLOOKUP(Tabla1313[[#This Row],[Código Indra]],#REF!,1,FALSE)</f>
        <v>#REF!</v>
      </c>
    </row>
    <row r="245" spans="1:23" s="110" customFormat="1" x14ac:dyDescent="0.25">
      <c r="A245" s="64">
        <v>300</v>
      </c>
      <c r="B245" s="61" t="s">
        <v>986</v>
      </c>
      <c r="C245" s="76" t="s">
        <v>983</v>
      </c>
      <c r="D245" s="64"/>
      <c r="E245" s="76"/>
      <c r="F245" s="64"/>
      <c r="G245" s="61" t="s">
        <v>260</v>
      </c>
      <c r="H245" s="61" t="s">
        <v>261</v>
      </c>
      <c r="I245" s="64"/>
      <c r="J245" s="64"/>
      <c r="K245" s="213" t="s">
        <v>213</v>
      </c>
      <c r="L245" s="191"/>
      <c r="M245" s="192"/>
      <c r="N245" s="192"/>
      <c r="O245" s="266"/>
      <c r="P245" s="220" t="str">
        <f>IF(LEFT(B245,5)="09735",
    IF(ISNA(VLOOKUP(Tabla1313[[#This Row],[Apoyo]],'LM SAP'!A:G,1,FALSE)),
        "No Disponible",
        IF(VLOOKUP(Tabla1313[[#This Row],[Apoyo]],'LM SAP'!A:AD,9,FALSE)="RR",
            "Disponible",
            "Firmas SAP"
        )
    ),
    "CONSULTAR"
)</f>
        <v>CONSULTAR</v>
      </c>
      <c r="Q245" s="63" t="str">
        <f>MID(Tabla1313[[#This Row],[Código Indra]],1,13)</f>
        <v>0972845037500</v>
      </c>
      <c r="R245" s="121" t="s">
        <v>260</v>
      </c>
      <c r="S245" s="63" t="str">
        <f>IF(ISNA(VLOOKUP(Tabla1313[[#This Row],[Código Indra]],#REF!,1,FALSE)),"NO", "SI")</f>
        <v>SI</v>
      </c>
      <c r="T245" s="91"/>
      <c r="U245" t="s">
        <v>260</v>
      </c>
      <c r="V245" s="110" t="e">
        <f>VLOOKUP(Tabla1313[[#This Row],[Apoyo]],'LM SAP'!A:I,9,FALSE)</f>
        <v>#N/A</v>
      </c>
      <c r="W245" s="110" t="e">
        <f>VLOOKUP(Tabla1313[[#This Row],[Código Indra]],#REF!,1,FALSE)</f>
        <v>#REF!</v>
      </c>
    </row>
    <row r="246" spans="1:23" s="110" customFormat="1" x14ac:dyDescent="0.25">
      <c r="A246" s="64">
        <v>301</v>
      </c>
      <c r="B246" s="64" t="s">
        <v>987</v>
      </c>
      <c r="C246" s="75" t="s">
        <v>988</v>
      </c>
      <c r="D246" s="64"/>
      <c r="E246" s="76"/>
      <c r="F246" s="64"/>
      <c r="G246" s="61" t="s">
        <v>260</v>
      </c>
      <c r="H246" s="61" t="s">
        <v>261</v>
      </c>
      <c r="I246" s="64"/>
      <c r="J246" s="64"/>
      <c r="K246" s="213" t="s">
        <v>213</v>
      </c>
      <c r="L246" s="191"/>
      <c r="M246" s="192"/>
      <c r="N246" s="192"/>
      <c r="O246" s="262"/>
      <c r="P246" s="220" t="str">
        <f>IF(LEFT(B246,5)="09735",
    IF(ISNA(VLOOKUP(Tabla1313[[#This Row],[Apoyo]],'LM SAP'!A:G,1,FALSE)),
        "No Disponible",
        IF(VLOOKUP(Tabla1313[[#This Row],[Apoyo]],'LM SAP'!A:AD,9,FALSE)="RR",
            "Disponible",
            "Firmas SAP"
        )
    ),
    "CONSULTAR"
)</f>
        <v>CONSULTAR</v>
      </c>
      <c r="Q246" s="63" t="str">
        <f>MID(Tabla1313[[#This Row],[Código Indra]],1,13)</f>
        <v>0972845037900</v>
      </c>
      <c r="R246" s="121" t="s">
        <v>260</v>
      </c>
      <c r="S246" s="63" t="str">
        <f>IF(ISNA(VLOOKUP(Tabla1313[[#This Row],[Código Indra]],#REF!,1,FALSE)),"NO", "SI")</f>
        <v>SI</v>
      </c>
      <c r="T246" s="91"/>
      <c r="U246" t="s">
        <v>260</v>
      </c>
      <c r="V246" s="110" t="e">
        <f>VLOOKUP(Tabla1313[[#This Row],[Apoyo]],'LM SAP'!A:I,9,FALSE)</f>
        <v>#N/A</v>
      </c>
      <c r="W246" s="110" t="e">
        <f>VLOOKUP(Tabla1313[[#This Row],[Código Indra]],#REF!,1,FALSE)</f>
        <v>#REF!</v>
      </c>
    </row>
    <row r="247" spans="1:23" s="110" customFormat="1" x14ac:dyDescent="0.25">
      <c r="A247" s="64">
        <v>302</v>
      </c>
      <c r="B247" s="61" t="s">
        <v>989</v>
      </c>
      <c r="C247" s="76" t="s">
        <v>988</v>
      </c>
      <c r="D247" s="64"/>
      <c r="E247" s="76"/>
      <c r="F247" s="64"/>
      <c r="G247" s="61" t="s">
        <v>260</v>
      </c>
      <c r="H247" s="61" t="s">
        <v>261</v>
      </c>
      <c r="I247" s="64"/>
      <c r="J247" s="64"/>
      <c r="K247" s="213" t="s">
        <v>213</v>
      </c>
      <c r="L247" s="191"/>
      <c r="M247" s="192"/>
      <c r="N247" s="192"/>
      <c r="O247" s="266"/>
      <c r="P247" s="220" t="str">
        <f>IF(LEFT(B247,5)="09735",
    IF(ISNA(VLOOKUP(Tabla1313[[#This Row],[Apoyo]],'LM SAP'!A:G,1,FALSE)),
        "No Disponible",
        IF(VLOOKUP(Tabla1313[[#This Row],[Apoyo]],'LM SAP'!A:AD,9,FALSE)="RR",
            "Disponible",
            "Firmas SAP"
        )
    ),
    "CONSULTAR"
)</f>
        <v>CONSULTAR</v>
      </c>
      <c r="Q247" s="63" t="str">
        <f>MID(Tabla1313[[#This Row],[Código Indra]],1,13)</f>
        <v>0972845038000</v>
      </c>
      <c r="R247" s="121" t="s">
        <v>260</v>
      </c>
      <c r="S247" s="63" t="str">
        <f>IF(ISNA(VLOOKUP(Tabla1313[[#This Row],[Código Indra]],#REF!,1,FALSE)),"NO", "SI")</f>
        <v>SI</v>
      </c>
      <c r="T247" s="91"/>
      <c r="U247" t="s">
        <v>260</v>
      </c>
      <c r="V247" s="110" t="e">
        <f>VLOOKUP(Tabla1313[[#This Row],[Apoyo]],'LM SAP'!A:I,9,FALSE)</f>
        <v>#N/A</v>
      </c>
      <c r="W247" s="110" t="e">
        <f>VLOOKUP(Tabla1313[[#This Row],[Código Indra]],#REF!,1,FALSE)</f>
        <v>#REF!</v>
      </c>
    </row>
    <row r="248" spans="1:23" s="110" customFormat="1" ht="36" x14ac:dyDescent="0.25">
      <c r="A248" s="64">
        <v>303</v>
      </c>
      <c r="B248" s="64" t="s">
        <v>990</v>
      </c>
      <c r="C248" s="75" t="s">
        <v>991</v>
      </c>
      <c r="D248" s="64"/>
      <c r="E248" s="75" t="s">
        <v>992</v>
      </c>
      <c r="F248" s="64">
        <v>1</v>
      </c>
      <c r="G248" s="61" t="s">
        <v>234</v>
      </c>
      <c r="H248" s="64"/>
      <c r="I248" s="61" t="s">
        <v>591</v>
      </c>
      <c r="J248" s="64"/>
      <c r="K248" s="184" t="s">
        <v>221</v>
      </c>
      <c r="L248" s="191">
        <v>60004855</v>
      </c>
      <c r="M248" s="192">
        <v>45607</v>
      </c>
      <c r="N248" s="192">
        <v>45611</v>
      </c>
      <c r="O248" s="269" t="s">
        <v>993</v>
      </c>
      <c r="P248" s="226" t="str">
        <f>IF(LEFT(B248,5)="09735",
    IF(ISNA(VLOOKUP(Tabla1313[[#This Row],[Apoyo]],'LM SAP'!A:G,1,FALSE)),
        "No Disponible",
        IF(VLOOKUP(Tabla1313[[#This Row],[Apoyo]],'LM SAP'!A:AD,9,FALSE)="RR",
            "Disponible",
            "Firmas SAP"
        )
    ),
    "CONSULTAR"
)</f>
        <v>No Disponible</v>
      </c>
      <c r="Q248" s="165" t="str">
        <f>MID(Tabla1313[[#This Row],[Código Indra]],1,13)</f>
        <v>0973545051800</v>
      </c>
      <c r="R248" s="121" t="s">
        <v>255</v>
      </c>
      <c r="S248" s="165" t="str">
        <f>IF(ISNA(VLOOKUP(Tabla1313[[#This Row],[Código Indra]],#REF!,1,FALSE)),"NO", "SI")</f>
        <v>SI</v>
      </c>
      <c r="T248" s="8"/>
      <c r="U248" t="s">
        <v>256</v>
      </c>
      <c r="V248" s="110" t="e">
        <f>VLOOKUP(Tabla1313[[#This Row],[Apoyo]],'LM SAP'!A:I,9,FALSE)</f>
        <v>#N/A</v>
      </c>
      <c r="W248" s="110" t="e">
        <f>VLOOKUP(Tabla1313[[#This Row],[Código Indra]],#REF!,1,FALSE)</f>
        <v>#REF!</v>
      </c>
    </row>
    <row r="249" spans="1:23" s="110" customFormat="1" ht="60" x14ac:dyDescent="0.25">
      <c r="A249" s="64">
        <v>304</v>
      </c>
      <c r="B249" s="61" t="s">
        <v>994</v>
      </c>
      <c r="C249" s="76" t="s">
        <v>995</v>
      </c>
      <c r="D249" s="270" t="s">
        <v>53</v>
      </c>
      <c r="E249" s="76" t="s">
        <v>996</v>
      </c>
      <c r="F249" s="64">
        <v>1</v>
      </c>
      <c r="G249" s="61" t="s">
        <v>234</v>
      </c>
      <c r="H249" s="61" t="s">
        <v>275</v>
      </c>
      <c r="I249" s="64" t="s">
        <v>591</v>
      </c>
      <c r="J249" s="64"/>
      <c r="K249" s="213" t="s">
        <v>262</v>
      </c>
      <c r="L249" s="191">
        <v>60004856</v>
      </c>
      <c r="M249" s="192">
        <v>45607</v>
      </c>
      <c r="N249" s="192">
        <v>45622</v>
      </c>
      <c r="O249" s="219" t="s">
        <v>997</v>
      </c>
      <c r="P249" s="220" t="str">
        <f>IF(LEFT(B249,5)="09735",
    IF(ISNA(VLOOKUP(Tabla1313[[#This Row],[Apoyo]],'LM SAP'!A:G,1,FALSE)),
        "No Disponible",
        IF(VLOOKUP(Tabla1313[[#This Row],[Apoyo]],'LM SAP'!A:AD,9,FALSE)="RR",
            "Disponible",
            "Firmas SAP"
        )
    ),
    "CONSULTAR"
)</f>
        <v>No Disponible</v>
      </c>
      <c r="Q249" s="63" t="str">
        <f>MID(Tabla1313[[#This Row],[Código Indra]],1,13)</f>
        <v>0973545051900</v>
      </c>
      <c r="R249" s="121" t="s">
        <v>255</v>
      </c>
      <c r="S249" s="63" t="str">
        <f>IF(ISNA(VLOOKUP(Tabla1313[[#This Row],[Código Indra]],#REF!,1,FALSE)),"NO", "SI")</f>
        <v>SI</v>
      </c>
      <c r="T249" s="91"/>
      <c r="U249" t="s">
        <v>256</v>
      </c>
      <c r="V249" s="110" t="e">
        <f>VLOOKUP(Tabla1313[[#This Row],[Apoyo]],'LM SAP'!A:I,9,FALSE)</f>
        <v>#N/A</v>
      </c>
      <c r="W249" s="110" t="e">
        <f>VLOOKUP(Tabla1313[[#This Row],[Código Indra]],#REF!,1,FALSE)</f>
        <v>#REF!</v>
      </c>
    </row>
    <row r="250" spans="1:23" s="110" customFormat="1" ht="36" x14ac:dyDescent="0.25">
      <c r="A250" s="64">
        <v>305</v>
      </c>
      <c r="B250" s="64" t="s">
        <v>998</v>
      </c>
      <c r="C250" s="75" t="s">
        <v>999</v>
      </c>
      <c r="D250" s="64"/>
      <c r="E250" s="75" t="s">
        <v>1000</v>
      </c>
      <c r="F250" s="64">
        <v>1</v>
      </c>
      <c r="G250" s="61" t="s">
        <v>260</v>
      </c>
      <c r="H250" s="61" t="s">
        <v>261</v>
      </c>
      <c r="I250" s="61" t="s">
        <v>591</v>
      </c>
      <c r="J250" s="64"/>
      <c r="K250" s="213" t="s">
        <v>220</v>
      </c>
      <c r="L250" s="191">
        <v>60004857</v>
      </c>
      <c r="M250" s="192">
        <v>45607</v>
      </c>
      <c r="N250" s="192">
        <v>45611</v>
      </c>
      <c r="O250" s="219" t="s">
        <v>1001</v>
      </c>
      <c r="P250" s="220" t="str">
        <f>IF(LEFT(B250,5)="09735",
    IF(ISNA(VLOOKUP(Tabla1313[[#This Row],[Apoyo]],'LM SAP'!A:G,1,FALSE)),
        "No Disponible",
        IF(VLOOKUP(Tabla1313[[#This Row],[Apoyo]],'LM SAP'!A:AD,9,FALSE)="RR",
            "Disponible",
            "Firmas SAP"
        )
    ),
    "CONSULTAR"
)</f>
        <v>Disponible</v>
      </c>
      <c r="Q250" s="63" t="str">
        <f>MID(Tabla1313[[#This Row],[Código Indra]],1,13)</f>
        <v>0973545052200</v>
      </c>
      <c r="R250" s="121" t="s">
        <v>255</v>
      </c>
      <c r="S250" s="63" t="str">
        <f>IF(ISNA(VLOOKUP(Tabla1313[[#This Row],[Código Indra]],#REF!,1,FALSE)),"NO", "SI")</f>
        <v>SI</v>
      </c>
      <c r="T250" s="91"/>
      <c r="U250" t="s">
        <v>256</v>
      </c>
      <c r="V250" s="110" t="str">
        <f>VLOOKUP(Tabla1313[[#This Row],[Apoyo]],'LM SAP'!A:I,9,FALSE)</f>
        <v>RR</v>
      </c>
      <c r="W250" s="110" t="e">
        <f>VLOOKUP(Tabla1313[[#This Row],[Código Indra]],#REF!,1,FALSE)</f>
        <v>#REF!</v>
      </c>
    </row>
    <row r="251" spans="1:23" s="110" customFormat="1" ht="30" x14ac:dyDescent="0.25">
      <c r="A251" s="64">
        <v>306</v>
      </c>
      <c r="B251" s="61" t="s">
        <v>1002</v>
      </c>
      <c r="C251" s="76" t="s">
        <v>1003</v>
      </c>
      <c r="D251" s="64"/>
      <c r="E251" s="76" t="s">
        <v>1004</v>
      </c>
      <c r="F251" s="64">
        <v>1</v>
      </c>
      <c r="G251" s="61" t="s">
        <v>260</v>
      </c>
      <c r="H251" s="61" t="s">
        <v>261</v>
      </c>
      <c r="I251" s="64" t="s">
        <v>591</v>
      </c>
      <c r="J251" s="64"/>
      <c r="K251" s="213" t="s">
        <v>217</v>
      </c>
      <c r="L251" s="222">
        <v>60004858</v>
      </c>
      <c r="M251" s="223">
        <v>45607</v>
      </c>
      <c r="N251" s="223">
        <v>45635</v>
      </c>
      <c r="O251" s="240" t="s">
        <v>281</v>
      </c>
      <c r="P251" s="220" t="str">
        <f>IF(LEFT(B251,5)="09735",
    IF(ISNA(VLOOKUP(Tabla1313[[#This Row],[Apoyo]],'LM SAP'!A:G,1,FALSE)),
        "No Disponible",
        IF(VLOOKUP(Tabla1313[[#This Row],[Apoyo]],'LM SAP'!A:AD,9,FALSE)="RR",
            "Disponible",
            "Firmas SAP"
        )
    ),
    "CONSULTAR"
)</f>
        <v>No Disponible</v>
      </c>
      <c r="Q251" s="63" t="str">
        <f>MID(Tabla1313[[#This Row],[Código Indra]],1,13)</f>
        <v>0973545052400</v>
      </c>
      <c r="R251" s="121" t="s">
        <v>255</v>
      </c>
      <c r="S251" s="63" t="str">
        <f>IF(ISNA(VLOOKUP(Tabla1313[[#This Row],[Código Indra]],#REF!,1,FALSE)),"NO", "SI")</f>
        <v>SI</v>
      </c>
      <c r="T251" s="91"/>
      <c r="U251" t="s">
        <v>256</v>
      </c>
      <c r="V251" s="110" t="e">
        <f>VLOOKUP(Tabla1313[[#This Row],[Apoyo]],'LM SAP'!A:I,9,FALSE)</f>
        <v>#N/A</v>
      </c>
      <c r="W251" s="110" t="e">
        <f>VLOOKUP(Tabla1313[[#This Row],[Código Indra]],#REF!,1,FALSE)</f>
        <v>#REF!</v>
      </c>
    </row>
    <row r="252" spans="1:23" s="110" customFormat="1" x14ac:dyDescent="0.25">
      <c r="A252" s="64">
        <v>328</v>
      </c>
      <c r="B252" s="64" t="s">
        <v>178</v>
      </c>
      <c r="C252" s="75" t="s">
        <v>173</v>
      </c>
      <c r="D252" s="64"/>
      <c r="E252" s="76"/>
      <c r="F252" s="64"/>
      <c r="G252" s="61" t="s">
        <v>260</v>
      </c>
      <c r="H252" s="64"/>
      <c r="I252" s="64"/>
      <c r="J252" s="64"/>
      <c r="K252" s="213" t="s">
        <v>213</v>
      </c>
      <c r="L252" s="191"/>
      <c r="M252" s="192"/>
      <c r="N252" s="192"/>
      <c r="O252" s="247"/>
      <c r="P252" s="220" t="str">
        <f>IF(LEFT(B252,5)="09735",
    IF(ISNA(VLOOKUP(Tabla1313[[#This Row],[Apoyo]],'LM SAP'!A:G,1,FALSE)),
        "No Disponible",
        IF(VLOOKUP(Tabla1313[[#This Row],[Apoyo]],'LM SAP'!A:AD,9,FALSE)="RR",
            "Disponible",
            "Firmas SAP"
        )
    ),
    "CONSULTAR"
)</f>
        <v>No Disponible</v>
      </c>
      <c r="Q252" s="63" t="str">
        <f>MID(Tabla1313[[#This Row],[Código Indra]],1,13)</f>
        <v>0973524410000</v>
      </c>
      <c r="R252" s="121" t="s">
        <v>255</v>
      </c>
      <c r="S252" s="63" t="str">
        <f>IF(ISNA(VLOOKUP(Tabla1313[[#This Row],[Código Indra]],#REF!,1,FALSE)),"NO", "SI")</f>
        <v>SI</v>
      </c>
      <c r="T252" s="91"/>
      <c r="U252" t="s">
        <v>227</v>
      </c>
      <c r="V252" s="110" t="e">
        <f>VLOOKUP(Tabla1313[[#This Row],[Apoyo]],'LM SAP'!A:I,9,FALSE)</f>
        <v>#N/A</v>
      </c>
      <c r="W252" s="110" t="e">
        <f>VLOOKUP(Tabla1313[[#This Row],[Código Indra]],#REF!,1,FALSE)</f>
        <v>#REF!</v>
      </c>
    </row>
    <row r="253" spans="1:23" s="110" customFormat="1" x14ac:dyDescent="0.25">
      <c r="A253" s="64">
        <v>329</v>
      </c>
      <c r="B253" s="61" t="s">
        <v>1005</v>
      </c>
      <c r="C253" s="76" t="s">
        <v>96</v>
      </c>
      <c r="D253" s="64"/>
      <c r="E253" s="76"/>
      <c r="F253" s="64"/>
      <c r="G253" s="61" t="s">
        <v>622</v>
      </c>
      <c r="H253" s="61" t="s">
        <v>275</v>
      </c>
      <c r="I253" s="64"/>
      <c r="J253" s="64"/>
      <c r="K253" s="213" t="s">
        <v>213</v>
      </c>
      <c r="L253" s="191"/>
      <c r="M253" s="192"/>
      <c r="N253" s="192"/>
      <c r="O253" s="260"/>
      <c r="P253" s="220" t="str">
        <f>IF(LEFT(B253,5)="09735",
    IF(ISNA(VLOOKUP(Tabla1313[[#This Row],[Apoyo]],'LM SAP'!A:G,1,FALSE)),
        "No Disponible",
        IF(VLOOKUP(Tabla1313[[#This Row],[Apoyo]],'LM SAP'!A:AD,9,FALSE)="RR",
            "Disponible",
            "Firmas SAP"
        )
    ),
    "CONSULTAR"
)</f>
        <v>No Disponible</v>
      </c>
      <c r="Q253" s="63" t="str">
        <f>MID(Tabla1313[[#This Row],[Código Indra]],1,13)</f>
        <v>0973544212100</v>
      </c>
      <c r="R253" s="121" t="s">
        <v>260</v>
      </c>
      <c r="S253" s="63" t="str">
        <f>IF(ISNA(VLOOKUP(Tabla1313[[#This Row],[Código Indra]],#REF!,1,FALSE)),"NO", "SI")</f>
        <v>SI</v>
      </c>
      <c r="T253" s="91"/>
      <c r="U253" t="s">
        <v>260</v>
      </c>
      <c r="V253" s="110" t="e">
        <f>VLOOKUP(Tabla1313[[#This Row],[Apoyo]],'LM SAP'!A:I,9,FALSE)</f>
        <v>#N/A</v>
      </c>
      <c r="W253" s="110" t="e">
        <f>VLOOKUP(Tabla1313[[#This Row],[Código Indra]],#REF!,1,FALSE)</f>
        <v>#REF!</v>
      </c>
    </row>
    <row r="254" spans="1:23" s="110" customFormat="1" ht="30" x14ac:dyDescent="0.25">
      <c r="A254" s="64">
        <v>330</v>
      </c>
      <c r="B254" s="64" t="s">
        <v>1006</v>
      </c>
      <c r="C254" s="75" t="s">
        <v>1007</v>
      </c>
      <c r="D254" s="64"/>
      <c r="E254" s="75" t="s">
        <v>1008</v>
      </c>
      <c r="F254" s="64">
        <v>1</v>
      </c>
      <c r="G254" s="61" t="s">
        <v>260</v>
      </c>
      <c r="H254" s="61" t="s">
        <v>261</v>
      </c>
      <c r="I254" s="61" t="s">
        <v>276</v>
      </c>
      <c r="J254" s="64"/>
      <c r="K254" s="213" t="s">
        <v>215</v>
      </c>
      <c r="L254" s="222">
        <v>60005192</v>
      </c>
      <c r="M254" s="223">
        <v>45622</v>
      </c>
      <c r="N254" s="192"/>
      <c r="O254" s="264" t="s">
        <v>595</v>
      </c>
      <c r="P254" s="263" t="str">
        <f>IF(LEFT(B254,5)="09735",
    IF(ISNA(VLOOKUP(Tabla1313[[#This Row],[Apoyo]],'LM SAP'!A:G,1,FALSE)),
        "No Disponible",
        IF(VLOOKUP(Tabla1313[[#This Row],[Apoyo]],'LM SAP'!A:AD,9,FALSE)="RR",
            "Disponible",
            "Firmas SAP"
        )
    ),
    "CONSULTAR"
)</f>
        <v>No Disponible</v>
      </c>
      <c r="Q254" s="65" t="str">
        <f>MID(Tabla1313[[#This Row],[Código Indra]],1,13)</f>
        <v>0973545048100</v>
      </c>
      <c r="R254" s="121" t="s">
        <v>255</v>
      </c>
      <c r="S254" s="65" t="str">
        <f>IF(ISNA(VLOOKUP(Tabla1313[[#This Row],[Código Indra]],#REF!,1,FALSE)),"NO", "SI")</f>
        <v>SI</v>
      </c>
      <c r="T254" s="124"/>
      <c r="U254" t="s">
        <v>256</v>
      </c>
      <c r="V254" s="110" t="e">
        <f>VLOOKUP(Tabla1313[[#This Row],[Apoyo]],'LM SAP'!A:I,9,FALSE)</f>
        <v>#N/A</v>
      </c>
      <c r="W254" s="110" t="e">
        <f>VLOOKUP(Tabla1313[[#This Row],[Código Indra]],#REF!,1,FALSE)</f>
        <v>#REF!</v>
      </c>
    </row>
    <row r="255" spans="1:23" s="110" customFormat="1" ht="30" x14ac:dyDescent="0.25">
      <c r="A255" s="64">
        <v>331</v>
      </c>
      <c r="B255" s="61" t="s">
        <v>1009</v>
      </c>
      <c r="C255" s="76" t="s">
        <v>1010</v>
      </c>
      <c r="D255" s="64"/>
      <c r="E255" s="76"/>
      <c r="F255" s="64"/>
      <c r="G255" s="61" t="s">
        <v>622</v>
      </c>
      <c r="H255" s="61" t="s">
        <v>275</v>
      </c>
      <c r="I255" s="64"/>
      <c r="J255" s="64"/>
      <c r="K255" s="213" t="s">
        <v>213</v>
      </c>
      <c r="L255" s="191"/>
      <c r="M255" s="192"/>
      <c r="N255" s="192"/>
      <c r="O255" s="260"/>
      <c r="P255" s="220" t="str">
        <f>IF(LEFT(B255,5)="09735",
    IF(ISNA(VLOOKUP(Tabla1313[[#This Row],[Apoyo]],'LM SAP'!A:G,1,FALSE)),
        "No Disponible",
        IF(VLOOKUP(Tabla1313[[#This Row],[Apoyo]],'LM SAP'!A:AD,9,FALSE)="RR",
            "Disponible",
            "Firmas SAP"
        )
    ),
    "CONSULTAR"
)</f>
        <v>No Disponible</v>
      </c>
      <c r="Q255" s="63" t="str">
        <f>MID(Tabla1313[[#This Row],[Código Indra]],1,13)</f>
        <v>0973545300103</v>
      </c>
      <c r="R255" s="121" t="s">
        <v>260</v>
      </c>
      <c r="S255" s="63" t="str">
        <f>IF(ISNA(VLOOKUP(Tabla1313[[#This Row],[Código Indra]],#REF!,1,FALSE)),"NO", "SI")</f>
        <v>SI</v>
      </c>
      <c r="T255" s="91"/>
      <c r="U255" t="s">
        <v>260</v>
      </c>
      <c r="V255" s="110" t="e">
        <f>VLOOKUP(Tabla1313[[#This Row],[Apoyo]],'LM SAP'!A:I,9,FALSE)</f>
        <v>#N/A</v>
      </c>
      <c r="W255" s="110" t="e">
        <f>VLOOKUP(Tabla1313[[#This Row],[Código Indra]],#REF!,1,FALSE)</f>
        <v>#REF!</v>
      </c>
    </row>
    <row r="256" spans="1:23" s="110" customFormat="1" ht="60" x14ac:dyDescent="0.25">
      <c r="A256" s="64">
        <v>332</v>
      </c>
      <c r="B256" s="64" t="s">
        <v>1011</v>
      </c>
      <c r="C256" s="75" t="s">
        <v>1012</v>
      </c>
      <c r="D256" s="64"/>
      <c r="E256" s="75" t="s">
        <v>1013</v>
      </c>
      <c r="F256" s="64">
        <v>1</v>
      </c>
      <c r="G256" s="61" t="s">
        <v>622</v>
      </c>
      <c r="H256" s="61" t="s">
        <v>275</v>
      </c>
      <c r="I256" s="61" t="s">
        <v>591</v>
      </c>
      <c r="J256" s="64"/>
      <c r="K256" s="213" t="s">
        <v>221</v>
      </c>
      <c r="L256" s="191">
        <v>60004859</v>
      </c>
      <c r="M256" s="192">
        <v>45607</v>
      </c>
      <c r="N256" s="192">
        <v>45629</v>
      </c>
      <c r="O256" s="219" t="s">
        <v>1014</v>
      </c>
      <c r="P256" s="220" t="str">
        <f>IF(LEFT(B256,5)="09735",
    IF(ISNA(VLOOKUP(Tabla1313[[#This Row],[Apoyo]],'LM SAP'!A:G,1,FALSE)),
        "No Disponible",
        IF(VLOOKUP(Tabla1313[[#This Row],[Apoyo]],'LM SAP'!A:AD,9,FALSE)="RR",
            "Disponible",
            "Firmas SAP"
        )
    ),
    "CONSULTAR"
)</f>
        <v>No Disponible</v>
      </c>
      <c r="Q256" s="63" t="str">
        <f>MID(Tabla1313[[#This Row],[Código Indra]],1,13)</f>
        <v>0973545050800</v>
      </c>
      <c r="R256" s="121" t="s">
        <v>255</v>
      </c>
      <c r="S256" s="63" t="str">
        <f>IF(ISNA(VLOOKUP(Tabla1313[[#This Row],[Código Indra]],#REF!,1,FALSE)),"NO", "SI")</f>
        <v>SI</v>
      </c>
      <c r="T256" s="91"/>
      <c r="U256" t="s">
        <v>256</v>
      </c>
      <c r="V256" s="110" t="e">
        <f>VLOOKUP(Tabla1313[[#This Row],[Apoyo]],'LM SAP'!A:I,9,FALSE)</f>
        <v>#N/A</v>
      </c>
      <c r="W256" s="110" t="e">
        <f>VLOOKUP(Tabla1313[[#This Row],[Código Indra]],#REF!,1,FALSE)</f>
        <v>#REF!</v>
      </c>
    </row>
    <row r="257" spans="1:23" s="110" customFormat="1" ht="30" x14ac:dyDescent="0.25">
      <c r="A257" s="161">
        <v>333</v>
      </c>
      <c r="B257" s="61" t="s">
        <v>1015</v>
      </c>
      <c r="C257" s="76" t="s">
        <v>1016</v>
      </c>
      <c r="D257" s="64"/>
      <c r="E257" s="76" t="s">
        <v>1017</v>
      </c>
      <c r="F257" s="64">
        <v>1</v>
      </c>
      <c r="G257" s="61" t="s">
        <v>260</v>
      </c>
      <c r="H257" s="61" t="s">
        <v>261</v>
      </c>
      <c r="I257" s="64" t="s">
        <v>591</v>
      </c>
      <c r="J257" s="64"/>
      <c r="K257" s="213" t="s">
        <v>221</v>
      </c>
      <c r="L257" s="222">
        <v>60004860</v>
      </c>
      <c r="M257" s="223">
        <v>45607</v>
      </c>
      <c r="N257" s="223">
        <v>45635</v>
      </c>
      <c r="O257" s="240" t="s">
        <v>281</v>
      </c>
      <c r="P257" s="220" t="str">
        <f>IF(LEFT(B257,5)="09735",
    IF(ISNA(VLOOKUP(Tabla1313[[#This Row],[Apoyo]],'LM SAP'!A:G,1,FALSE)),
        "No Disponible",
        IF(VLOOKUP(Tabla1313[[#This Row],[Apoyo]],'LM SAP'!A:AD,9,FALSE)="RR",
            "Disponible",
            "Firmas SAP"
        )
    ),
    "CONSULTAR"
)</f>
        <v>No Disponible</v>
      </c>
      <c r="Q257" s="63" t="str">
        <f>MID(Tabla1313[[#This Row],[Código Indra]],1,13)</f>
        <v>0973545052300</v>
      </c>
      <c r="R257" s="121" t="s">
        <v>255</v>
      </c>
      <c r="S257" s="63" t="str">
        <f>IF(ISNA(VLOOKUP(Tabla1313[[#This Row],[Código Indra]],#REF!,1,FALSE)),"NO", "SI")</f>
        <v>SI</v>
      </c>
      <c r="T257" s="91"/>
      <c r="U257" t="s">
        <v>256</v>
      </c>
      <c r="V257" s="110" t="e">
        <f>VLOOKUP(Tabla1313[[#This Row],[Apoyo]],'LM SAP'!A:I,9,FALSE)</f>
        <v>#N/A</v>
      </c>
      <c r="W257" s="110" t="e">
        <f>VLOOKUP(Tabla1313[[#This Row],[Código Indra]],#REF!,1,FALSE)</f>
        <v>#REF!</v>
      </c>
    </row>
    <row r="258" spans="1:23" s="110" customFormat="1" ht="36" x14ac:dyDescent="0.25">
      <c r="A258" s="64">
        <v>335</v>
      </c>
      <c r="B258" s="64" t="s">
        <v>1018</v>
      </c>
      <c r="C258" s="75" t="s">
        <v>1019</v>
      </c>
      <c r="D258" s="64"/>
      <c r="E258" s="75" t="s">
        <v>1020</v>
      </c>
      <c r="F258" s="64">
        <v>1</v>
      </c>
      <c r="G258" s="61" t="s">
        <v>234</v>
      </c>
      <c r="H258" s="64"/>
      <c r="I258" s="61" t="s">
        <v>591</v>
      </c>
      <c r="J258" s="64"/>
      <c r="K258" s="184" t="s">
        <v>221</v>
      </c>
      <c r="L258" s="191">
        <v>60004861</v>
      </c>
      <c r="M258" s="192">
        <v>45607</v>
      </c>
      <c r="N258" s="192">
        <v>45611</v>
      </c>
      <c r="O258" s="235" t="s">
        <v>1021</v>
      </c>
      <c r="P258" s="226" t="str">
        <f>IF(LEFT(B258,5)="09735",
    IF(ISNA(VLOOKUP(Tabla1313[[#This Row],[Apoyo]],'LM SAP'!A:G,1,FALSE)),
        "No Disponible",
        IF(VLOOKUP(Tabla1313[[#This Row],[Apoyo]],'LM SAP'!A:AD,9,FALSE)="RR",
            "Disponible",
            "Firmas SAP"
        )
    ),
    "CONSULTAR"
)</f>
        <v>No Disponible</v>
      </c>
      <c r="Q258" s="165" t="str">
        <f>MID(Tabla1313[[#This Row],[Código Indra]],1,13)</f>
        <v>0973545052600</v>
      </c>
      <c r="R258" s="121" t="s">
        <v>255</v>
      </c>
      <c r="S258" s="165" t="str">
        <f>IF(ISNA(VLOOKUP(Tabla1313[[#This Row],[Código Indra]],#REF!,1,FALSE)),"NO", "SI")</f>
        <v>SI</v>
      </c>
      <c r="T258" s="8"/>
      <c r="U258" t="s">
        <v>256</v>
      </c>
      <c r="V258" s="110" t="e">
        <f>VLOOKUP(Tabla1313[[#This Row],[Apoyo]],'LM SAP'!A:I,9,FALSE)</f>
        <v>#N/A</v>
      </c>
      <c r="W258" s="110" t="e">
        <f>VLOOKUP(Tabla1313[[#This Row],[Código Indra]],#REF!,1,FALSE)</f>
        <v>#REF!</v>
      </c>
    </row>
    <row r="259" spans="1:23" s="110" customFormat="1" ht="36" x14ac:dyDescent="0.25">
      <c r="A259" s="64">
        <v>336</v>
      </c>
      <c r="B259" s="61" t="s">
        <v>1022</v>
      </c>
      <c r="C259" s="76" t="s">
        <v>1023</v>
      </c>
      <c r="D259" s="64"/>
      <c r="E259" s="76" t="s">
        <v>1024</v>
      </c>
      <c r="F259" s="64">
        <v>1</v>
      </c>
      <c r="G259" s="61" t="s">
        <v>234</v>
      </c>
      <c r="H259" s="64"/>
      <c r="I259" s="64" t="s">
        <v>591</v>
      </c>
      <c r="J259" s="64"/>
      <c r="K259" s="184" t="s">
        <v>221</v>
      </c>
      <c r="L259" s="191">
        <v>60004862</v>
      </c>
      <c r="M259" s="192">
        <v>45607</v>
      </c>
      <c r="N259" s="192">
        <v>45611</v>
      </c>
      <c r="O259" s="235" t="s">
        <v>1025</v>
      </c>
      <c r="P259" s="226" t="str">
        <f>IF(LEFT(B259,5)="09735",
    IF(ISNA(VLOOKUP(Tabla1313[[#This Row],[Apoyo]],'LM SAP'!A:G,1,FALSE)),
        "No Disponible",
        IF(VLOOKUP(Tabla1313[[#This Row],[Apoyo]],'LM SAP'!A:AD,9,FALSE)="RR",
            "Disponible",
            "Firmas SAP"
        )
    ),
    "CONSULTAR"
)</f>
        <v>No Disponible</v>
      </c>
      <c r="Q259" s="165" t="str">
        <f>MID(Tabla1313[[#This Row],[Código Indra]],1,13)</f>
        <v>0973545052700</v>
      </c>
      <c r="R259" s="121" t="s">
        <v>255</v>
      </c>
      <c r="S259" s="165" t="str">
        <f>IF(ISNA(VLOOKUP(Tabla1313[[#This Row],[Código Indra]],#REF!,1,FALSE)),"NO", "SI")</f>
        <v>SI</v>
      </c>
      <c r="T259" s="8"/>
      <c r="U259" t="s">
        <v>256</v>
      </c>
      <c r="V259" s="110" t="e">
        <f>VLOOKUP(Tabla1313[[#This Row],[Apoyo]],'LM SAP'!A:I,9,FALSE)</f>
        <v>#N/A</v>
      </c>
      <c r="W259" s="110" t="e">
        <f>VLOOKUP(Tabla1313[[#This Row],[Código Indra]],#REF!,1,FALSE)</f>
        <v>#REF!</v>
      </c>
    </row>
    <row r="260" spans="1:23" s="110" customFormat="1" ht="36" x14ac:dyDescent="0.25">
      <c r="A260" s="64">
        <v>337</v>
      </c>
      <c r="B260" s="64" t="s">
        <v>1026</v>
      </c>
      <c r="C260" s="75" t="s">
        <v>1027</v>
      </c>
      <c r="D260" s="64"/>
      <c r="E260" s="75" t="s">
        <v>1028</v>
      </c>
      <c r="F260" s="64">
        <v>1</v>
      </c>
      <c r="G260" s="61" t="s">
        <v>260</v>
      </c>
      <c r="H260" s="61" t="s">
        <v>261</v>
      </c>
      <c r="I260" s="61" t="s">
        <v>591</v>
      </c>
      <c r="J260" s="64"/>
      <c r="K260" s="184" t="s">
        <v>221</v>
      </c>
      <c r="L260" s="191">
        <v>60004863</v>
      </c>
      <c r="M260" s="192">
        <v>45607</v>
      </c>
      <c r="N260" s="192">
        <v>45611</v>
      </c>
      <c r="O260" s="235" t="s">
        <v>1029</v>
      </c>
      <c r="P260" s="226" t="str">
        <f>IF(LEFT(B260,5)="09735",
    IF(ISNA(VLOOKUP(Tabla1313[[#This Row],[Apoyo]],'LM SAP'!A:G,1,FALSE)),
        "No Disponible",
        IF(VLOOKUP(Tabla1313[[#This Row],[Apoyo]],'LM SAP'!A:AD,9,FALSE)="RR",
            "Disponible",
            "Firmas SAP"
        )
    ),
    "CONSULTAR"
)</f>
        <v>No Disponible</v>
      </c>
      <c r="Q260" s="165" t="str">
        <f>MID(Tabla1313[[#This Row],[Código Indra]],1,13)</f>
        <v>0973545052800</v>
      </c>
      <c r="R260" s="121" t="s">
        <v>255</v>
      </c>
      <c r="S260" s="165" t="str">
        <f>IF(ISNA(VLOOKUP(Tabla1313[[#This Row],[Código Indra]],#REF!,1,FALSE)),"NO", "SI")</f>
        <v>SI</v>
      </c>
      <c r="T260" s="8"/>
      <c r="U260" t="s">
        <v>256</v>
      </c>
      <c r="V260" s="110" t="e">
        <f>VLOOKUP(Tabla1313[[#This Row],[Apoyo]],'LM SAP'!A:I,9,FALSE)</f>
        <v>#N/A</v>
      </c>
      <c r="W260" s="110" t="e">
        <f>VLOOKUP(Tabla1313[[#This Row],[Código Indra]],#REF!,1,FALSE)</f>
        <v>#REF!</v>
      </c>
    </row>
    <row r="261" spans="1:23" s="110" customFormat="1" ht="72" x14ac:dyDescent="0.25">
      <c r="A261" s="161">
        <v>338</v>
      </c>
      <c r="B261" s="61" t="s">
        <v>1030</v>
      </c>
      <c r="C261" s="76" t="s">
        <v>1031</v>
      </c>
      <c r="D261" s="64"/>
      <c r="E261" s="76" t="s">
        <v>1032</v>
      </c>
      <c r="F261" s="64">
        <v>1</v>
      </c>
      <c r="G261" s="61" t="s">
        <v>234</v>
      </c>
      <c r="H261" s="64"/>
      <c r="I261" s="64" t="s">
        <v>591</v>
      </c>
      <c r="J261" s="64"/>
      <c r="K261" s="213" t="s">
        <v>221</v>
      </c>
      <c r="L261" s="191">
        <v>60004864</v>
      </c>
      <c r="M261" s="192">
        <v>45607</v>
      </c>
      <c r="N261" s="192">
        <v>45611</v>
      </c>
      <c r="O261" s="219" t="s">
        <v>1033</v>
      </c>
      <c r="P261" s="220" t="str">
        <f>IF(LEFT(B261,5)="09735",
    IF(ISNA(VLOOKUP(Tabla1313[[#This Row],[Apoyo]],'LM SAP'!A:G,1,FALSE)),
        "No Disponible",
        IF(VLOOKUP(Tabla1313[[#This Row],[Apoyo]],'LM SAP'!A:AD,9,FALSE)="RR",
            "Disponible",
            "Firmas SAP"
        )
    ),
    "CONSULTAR"
)</f>
        <v>No Disponible</v>
      </c>
      <c r="Q261" s="63" t="str">
        <f>MID(Tabla1313[[#This Row],[Código Indra]],1,13)</f>
        <v>0973545054100</v>
      </c>
      <c r="R261" s="121" t="s">
        <v>255</v>
      </c>
      <c r="S261" s="63" t="str">
        <f>IF(ISNA(VLOOKUP(Tabla1313[[#This Row],[Código Indra]],#REF!,1,FALSE)),"NO", "SI")</f>
        <v>SI</v>
      </c>
      <c r="T261" s="91"/>
      <c r="U261" t="s">
        <v>256</v>
      </c>
      <c r="V261" s="110" t="e">
        <f>VLOOKUP(Tabla1313[[#This Row],[Apoyo]],'LM SAP'!A:I,9,FALSE)</f>
        <v>#N/A</v>
      </c>
      <c r="W261" s="110" t="e">
        <f>VLOOKUP(Tabla1313[[#This Row],[Código Indra]],#REF!,1,FALSE)</f>
        <v>#REF!</v>
      </c>
    </row>
    <row r="262" spans="1:23" s="110" customFormat="1" ht="30" x14ac:dyDescent="0.25">
      <c r="A262" s="64">
        <v>339</v>
      </c>
      <c r="B262" s="64" t="s">
        <v>1034</v>
      </c>
      <c r="C262" s="75" t="s">
        <v>1035</v>
      </c>
      <c r="D262" s="64"/>
      <c r="E262" s="75" t="s">
        <v>1036</v>
      </c>
      <c r="F262" s="64">
        <v>1</v>
      </c>
      <c r="G262" s="61" t="s">
        <v>234</v>
      </c>
      <c r="H262" s="64"/>
      <c r="I262" s="61" t="s">
        <v>591</v>
      </c>
      <c r="J262" s="64"/>
      <c r="K262" s="184" t="s">
        <v>221</v>
      </c>
      <c r="L262" s="191">
        <v>60004865</v>
      </c>
      <c r="M262" s="192">
        <v>45607</v>
      </c>
      <c r="N262" s="192">
        <v>45616</v>
      </c>
      <c r="O262" s="235" t="s">
        <v>281</v>
      </c>
      <c r="P262" s="226" t="str">
        <f>IF(LEFT(B262,5)="09735",
    IF(ISNA(VLOOKUP(Tabla1313[[#This Row],[Apoyo]],'LM SAP'!A:G,1,FALSE)),
        "No Disponible",
        IF(VLOOKUP(Tabla1313[[#This Row],[Apoyo]],'LM SAP'!A:AD,9,FALSE)="RR",
            "Disponible",
            "Firmas SAP"
        )
    ),
    "CONSULTAR"
)</f>
        <v>No Disponible</v>
      </c>
      <c r="Q262" s="165" t="str">
        <f>MID(Tabla1313[[#This Row],[Código Indra]],1,13)</f>
        <v>0973545054200</v>
      </c>
      <c r="R262" s="121" t="s">
        <v>255</v>
      </c>
      <c r="S262" s="165" t="str">
        <f>IF(ISNA(VLOOKUP(Tabla1313[[#This Row],[Código Indra]],#REF!,1,FALSE)),"NO", "SI")</f>
        <v>SI</v>
      </c>
      <c r="T262" s="8"/>
      <c r="U262" t="s">
        <v>256</v>
      </c>
      <c r="V262" s="110" t="e">
        <f>VLOOKUP(Tabla1313[[#This Row],[Apoyo]],'LM SAP'!A:I,9,FALSE)</f>
        <v>#N/A</v>
      </c>
      <c r="W262" s="110" t="e">
        <f>VLOOKUP(Tabla1313[[#This Row],[Código Indra]],#REF!,1,FALSE)</f>
        <v>#REF!</v>
      </c>
    </row>
    <row r="263" spans="1:23" s="110" customFormat="1" ht="48" x14ac:dyDescent="0.25">
      <c r="A263" s="161">
        <v>340</v>
      </c>
      <c r="B263" s="61" t="s">
        <v>1037</v>
      </c>
      <c r="C263" s="76" t="s">
        <v>1038</v>
      </c>
      <c r="D263" s="64"/>
      <c r="E263" s="76" t="s">
        <v>1039</v>
      </c>
      <c r="F263" s="64">
        <v>1</v>
      </c>
      <c r="G263" s="61" t="s">
        <v>234</v>
      </c>
      <c r="H263" s="61" t="s">
        <v>275</v>
      </c>
      <c r="I263" s="64" t="s">
        <v>591</v>
      </c>
      <c r="J263" s="64"/>
      <c r="K263" s="213" t="s">
        <v>221</v>
      </c>
      <c r="L263" s="191">
        <v>60004866</v>
      </c>
      <c r="M263" s="192">
        <v>45607</v>
      </c>
      <c r="N263" s="192">
        <v>45624</v>
      </c>
      <c r="O263" s="241" t="s">
        <v>1040</v>
      </c>
      <c r="P263" s="220" t="str">
        <f>IF(LEFT(B263,5)="09735",
    IF(ISNA(VLOOKUP(Tabla1313[[#This Row],[Apoyo]],'LM SAP'!A:G,1,FALSE)),
        "No Disponible",
        IF(VLOOKUP(Tabla1313[[#This Row],[Apoyo]],'LM SAP'!A:AD,9,FALSE)="RR",
            "Disponible",
            "Firmas SAP"
        )
    ),
    "CONSULTAR"
)</f>
        <v>No Disponible</v>
      </c>
      <c r="Q263" s="63" t="str">
        <f>MID(Tabla1313[[#This Row],[Código Indra]],1,13)</f>
        <v>0973545054300</v>
      </c>
      <c r="R263" s="121" t="s">
        <v>255</v>
      </c>
      <c r="S263" s="63" t="str">
        <f>IF(ISNA(VLOOKUP(Tabla1313[[#This Row],[Código Indra]],#REF!,1,FALSE)),"NO", "SI")</f>
        <v>SI</v>
      </c>
      <c r="T263" s="91"/>
      <c r="U263" t="s">
        <v>256</v>
      </c>
      <c r="V263" s="110" t="e">
        <f>VLOOKUP(Tabla1313[[#This Row],[Apoyo]],'LM SAP'!A:I,9,FALSE)</f>
        <v>#N/A</v>
      </c>
      <c r="W263" s="110" t="e">
        <f>VLOOKUP(Tabla1313[[#This Row],[Código Indra]],#REF!,1,FALSE)</f>
        <v>#REF!</v>
      </c>
    </row>
    <row r="264" spans="1:23" s="110" customFormat="1" ht="30" x14ac:dyDescent="0.25">
      <c r="A264" s="64">
        <v>341</v>
      </c>
      <c r="B264" s="64" t="s">
        <v>1041</v>
      </c>
      <c r="C264" s="75" t="s">
        <v>1042</v>
      </c>
      <c r="D264" s="64"/>
      <c r="E264" s="75" t="s">
        <v>1043</v>
      </c>
      <c r="F264" s="64">
        <v>1</v>
      </c>
      <c r="G264" s="61" t="s">
        <v>234</v>
      </c>
      <c r="H264" s="64"/>
      <c r="I264" s="61" t="s">
        <v>591</v>
      </c>
      <c r="J264" s="64"/>
      <c r="K264" s="213" t="s">
        <v>221</v>
      </c>
      <c r="L264" s="191">
        <v>60004867</v>
      </c>
      <c r="M264" s="192">
        <v>45607</v>
      </c>
      <c r="N264" s="192">
        <v>45611</v>
      </c>
      <c r="O264" s="219" t="s">
        <v>1044</v>
      </c>
      <c r="P264" s="220" t="str">
        <f>IF(LEFT(B264,5)="09735",
    IF(ISNA(VLOOKUP(Tabla1313[[#This Row],[Apoyo]],'LM SAP'!A:G,1,FALSE)),
        "No Disponible",
        IF(VLOOKUP(Tabla1313[[#This Row],[Apoyo]],'LM SAP'!A:AD,9,FALSE)="RR",
            "Disponible",
            "Firmas SAP"
        )
    ),
    "CONSULTAR"
)</f>
        <v>No Disponible</v>
      </c>
      <c r="Q264" s="63" t="str">
        <f>MID(Tabla1313[[#This Row],[Código Indra]],1,13)</f>
        <v>0973545054400</v>
      </c>
      <c r="R264" s="121" t="s">
        <v>255</v>
      </c>
      <c r="S264" s="63" t="str">
        <f>IF(ISNA(VLOOKUP(Tabla1313[[#This Row],[Código Indra]],#REF!,1,FALSE)),"NO", "SI")</f>
        <v>SI</v>
      </c>
      <c r="T264" s="91"/>
      <c r="U264" t="s">
        <v>256</v>
      </c>
      <c r="V264" s="110" t="e">
        <f>VLOOKUP(Tabla1313[[#This Row],[Apoyo]],'LM SAP'!A:I,9,FALSE)</f>
        <v>#N/A</v>
      </c>
      <c r="W264" s="110" t="e">
        <f>VLOOKUP(Tabla1313[[#This Row],[Código Indra]],#REF!,1,FALSE)</f>
        <v>#REF!</v>
      </c>
    </row>
    <row r="265" spans="1:23" s="110" customFormat="1" ht="36" x14ac:dyDescent="0.25">
      <c r="A265" s="64">
        <v>342</v>
      </c>
      <c r="B265" s="61" t="s">
        <v>160</v>
      </c>
      <c r="C265" s="76" t="s">
        <v>161</v>
      </c>
      <c r="D265" s="64"/>
      <c r="E265" s="76" t="s">
        <v>1045</v>
      </c>
      <c r="F265" s="64">
        <v>1</v>
      </c>
      <c r="G265" s="61" t="s">
        <v>234</v>
      </c>
      <c r="H265" s="61" t="s">
        <v>275</v>
      </c>
      <c r="I265" s="64" t="s">
        <v>591</v>
      </c>
      <c r="J265" s="64"/>
      <c r="K265" s="213" t="s">
        <v>215</v>
      </c>
      <c r="L265" s="222">
        <v>60005074</v>
      </c>
      <c r="M265" s="223">
        <v>45616</v>
      </c>
      <c r="N265" s="192"/>
      <c r="O265" s="148" t="s">
        <v>1046</v>
      </c>
      <c r="P265" s="220" t="str">
        <f>IF(LEFT(B265,5)="09735",
    IF(ISNA(VLOOKUP(Tabla1313[[#This Row],[Apoyo]],'LM SAP'!A:G,1,FALSE)),
        "No Disponible",
        IF(VLOOKUP(Tabla1313[[#This Row],[Apoyo]],'LM SAP'!A:AD,9,FALSE)="RR",
            "Disponible",
            "Firmas SAP"
        )
    ),
    "CONSULTAR"
)</f>
        <v>No Disponible</v>
      </c>
      <c r="Q265" s="63" t="str">
        <f>MID(Tabla1313[[#This Row],[Código Indra]],1,13)</f>
        <v>0973524070100</v>
      </c>
      <c r="R265" s="121" t="s">
        <v>255</v>
      </c>
      <c r="S265" s="63" t="str">
        <f>IF(ISNA(VLOOKUP(Tabla1313[[#This Row],[Código Indra]],#REF!,1,FALSE)),"NO", "SI")</f>
        <v>SI</v>
      </c>
      <c r="T265" s="91"/>
      <c r="U265" t="s">
        <v>227</v>
      </c>
      <c r="V265" s="110" t="e">
        <f>VLOOKUP(Tabla1313[[#This Row],[Apoyo]],'LM SAP'!A:I,9,FALSE)</f>
        <v>#N/A</v>
      </c>
      <c r="W265" s="110" t="e">
        <f>VLOOKUP(Tabla1313[[#This Row],[Código Indra]],#REF!,1,FALSE)</f>
        <v>#REF!</v>
      </c>
    </row>
    <row r="266" spans="1:23" s="110" customFormat="1" ht="36.75" x14ac:dyDescent="0.25">
      <c r="A266" s="64">
        <v>343</v>
      </c>
      <c r="B266" s="64" t="s">
        <v>91</v>
      </c>
      <c r="C266" s="75" t="s">
        <v>92</v>
      </c>
      <c r="D266" s="64"/>
      <c r="E266" s="75" t="s">
        <v>1047</v>
      </c>
      <c r="F266" s="64">
        <v>1</v>
      </c>
      <c r="G266" s="61" t="s">
        <v>234</v>
      </c>
      <c r="H266" s="61" t="s">
        <v>275</v>
      </c>
      <c r="I266" s="61" t="s">
        <v>591</v>
      </c>
      <c r="J266" s="64"/>
      <c r="K266" s="213" t="s">
        <v>216</v>
      </c>
      <c r="L266" s="222">
        <v>60005080</v>
      </c>
      <c r="M266" s="223">
        <v>45616</v>
      </c>
      <c r="N266" s="192"/>
      <c r="O266" s="271" t="s">
        <v>1048</v>
      </c>
      <c r="P266" s="220" t="str">
        <f>IF(LEFT(B266,5)="09735",
    IF(ISNA(VLOOKUP(Tabla1313[[#This Row],[Apoyo]],'LM SAP'!A:G,1,FALSE)),
        "No Disponible",
        IF(VLOOKUP(Tabla1313[[#This Row],[Apoyo]],'LM SAP'!A:AD,9,FALSE)="RR",
            "Disponible",
            "Firmas SAP"
        )
    ),
    "CONSULTAR"
)</f>
        <v>No Disponible</v>
      </c>
      <c r="Q266" s="63" t="str">
        <f>MID(Tabla1313[[#This Row],[Código Indra]],1,13)</f>
        <v>0973524070200</v>
      </c>
      <c r="R266" s="121" t="s">
        <v>255</v>
      </c>
      <c r="S266" s="63" t="str">
        <f>IF(ISNA(VLOOKUP(Tabla1313[[#This Row],[Código Indra]],#REF!,1,FALSE)),"NO", "SI")</f>
        <v>SI</v>
      </c>
      <c r="T266" s="91"/>
      <c r="U266" t="s">
        <v>227</v>
      </c>
      <c r="V266" s="110" t="e">
        <f>VLOOKUP(Tabla1313[[#This Row],[Apoyo]],'LM SAP'!A:I,9,FALSE)</f>
        <v>#N/A</v>
      </c>
      <c r="W266" s="110" t="e">
        <f>VLOOKUP(Tabla1313[[#This Row],[Código Indra]],#REF!,1,FALSE)</f>
        <v>#REF!</v>
      </c>
    </row>
    <row r="267" spans="1:23" s="110" customFormat="1" ht="30" x14ac:dyDescent="0.25">
      <c r="A267" s="64">
        <v>344</v>
      </c>
      <c r="B267" s="61" t="s">
        <v>93</v>
      </c>
      <c r="C267" s="76" t="s">
        <v>94</v>
      </c>
      <c r="D267" s="64"/>
      <c r="E267" s="76" t="s">
        <v>1049</v>
      </c>
      <c r="F267" s="64">
        <v>1</v>
      </c>
      <c r="G267" s="61" t="s">
        <v>234</v>
      </c>
      <c r="H267" s="61" t="s">
        <v>275</v>
      </c>
      <c r="I267" s="64" t="s">
        <v>591</v>
      </c>
      <c r="J267" s="64"/>
      <c r="K267" s="213" t="s">
        <v>215</v>
      </c>
      <c r="L267" s="222">
        <v>60005075</v>
      </c>
      <c r="M267" s="223">
        <v>45616</v>
      </c>
      <c r="N267" s="192"/>
      <c r="O267" s="147" t="s">
        <v>1050</v>
      </c>
      <c r="P267" s="220" t="str">
        <f>IF(LEFT(B267,5)="09735",
    IF(ISNA(VLOOKUP(Tabla1313[[#This Row],[Apoyo]],'LM SAP'!A:G,1,FALSE)),
        "No Disponible",
        IF(VLOOKUP(Tabla1313[[#This Row],[Apoyo]],'LM SAP'!A:AD,9,FALSE)="RR",
            "Disponible",
            "Firmas SAP"
        )
    ),
    "CONSULTAR"
)</f>
        <v>No Disponible</v>
      </c>
      <c r="Q267" s="63" t="str">
        <f>MID(Tabla1313[[#This Row],[Código Indra]],1,13)</f>
        <v>0973524070300</v>
      </c>
      <c r="R267" s="121" t="s">
        <v>255</v>
      </c>
      <c r="S267" s="63" t="str">
        <f>IF(ISNA(VLOOKUP(Tabla1313[[#This Row],[Código Indra]],#REF!,1,FALSE)),"NO", "SI")</f>
        <v>SI</v>
      </c>
      <c r="T267" s="91"/>
      <c r="U267" t="s">
        <v>227</v>
      </c>
      <c r="V267" s="110" t="e">
        <f>VLOOKUP(Tabla1313[[#This Row],[Apoyo]],'LM SAP'!A:I,9,FALSE)</f>
        <v>#N/A</v>
      </c>
      <c r="W267" s="110" t="e">
        <f>VLOOKUP(Tabla1313[[#This Row],[Código Indra]],#REF!,1,FALSE)</f>
        <v>#REF!</v>
      </c>
    </row>
    <row r="268" spans="1:23" s="130" customFormat="1" ht="30" x14ac:dyDescent="0.25">
      <c r="A268" s="64">
        <v>361</v>
      </c>
      <c r="B268" s="64" t="s">
        <v>1051</v>
      </c>
      <c r="C268" s="75" t="s">
        <v>1052</v>
      </c>
      <c r="D268" s="64"/>
      <c r="E268" s="75" t="s">
        <v>1053</v>
      </c>
      <c r="F268" s="64">
        <v>1</v>
      </c>
      <c r="G268" s="61" t="s">
        <v>234</v>
      </c>
      <c r="H268" s="61" t="s">
        <v>250</v>
      </c>
      <c r="I268" s="64"/>
      <c r="J268" s="64"/>
      <c r="K268" s="213" t="s">
        <v>221</v>
      </c>
      <c r="L268" s="191">
        <v>60005102</v>
      </c>
      <c r="M268" s="192">
        <v>45617</v>
      </c>
      <c r="N268" s="192">
        <v>45630</v>
      </c>
      <c r="O268" s="149" t="s">
        <v>1054</v>
      </c>
      <c r="P268" s="218" t="str">
        <f>IF(LEFT(B268,5)="09735",
    IF(ISNA(VLOOKUP(Tabla1313[[#This Row],[Apoyo]],'LM SAP'!A:G,1,FALSE)),
        "No Disponible",
        IF(VLOOKUP(Tabla1313[[#This Row],[Apoyo]],'LM SAP'!A:AD,9,FALSE)="RR",
            "Disponible",
            "Firmas SAP"
        )
    ),
    "CONSULTAR"
)</f>
        <v>No Disponible</v>
      </c>
      <c r="Q268" s="127" t="str">
        <f>MID(Tabla1313[[#This Row],[Código Indra]],1,13)</f>
        <v>0973524330400</v>
      </c>
      <c r="R268" s="131" t="s">
        <v>255</v>
      </c>
      <c r="S268" s="127" t="str">
        <f>IF(ISNA(VLOOKUP(Tabla1313[[#This Row],[Código Indra]],#REF!,1,FALSE)),"NO", "SI")</f>
        <v>SI</v>
      </c>
      <c r="T268" s="129"/>
      <c r="U268" s="130" t="s">
        <v>256</v>
      </c>
      <c r="V268" s="130" t="e">
        <f>VLOOKUP(Tabla1313[[#This Row],[Apoyo]],'LM SAP'!A:I,9,FALSE)</f>
        <v>#N/A</v>
      </c>
      <c r="W268" s="130" t="e">
        <f>VLOOKUP(Tabla1313[[#This Row],[Código Indra]],#REF!,1,FALSE)</f>
        <v>#REF!</v>
      </c>
    </row>
    <row r="269" spans="1:23" ht="60" x14ac:dyDescent="0.25">
      <c r="A269" s="64">
        <v>364</v>
      </c>
      <c r="B269" s="61" t="s">
        <v>1055</v>
      </c>
      <c r="C269" s="76" t="s">
        <v>1056</v>
      </c>
      <c r="D269" s="64" t="s">
        <v>134</v>
      </c>
      <c r="E269" s="76" t="s">
        <v>1057</v>
      </c>
      <c r="F269" s="64"/>
      <c r="G269" s="61" t="s">
        <v>622</v>
      </c>
      <c r="H269" s="61" t="s">
        <v>275</v>
      </c>
      <c r="I269" s="64" t="s">
        <v>276</v>
      </c>
      <c r="J269" s="64"/>
      <c r="K269" s="213" t="s">
        <v>221</v>
      </c>
      <c r="L269" s="191">
        <v>60004868</v>
      </c>
      <c r="M269" s="192">
        <v>45607</v>
      </c>
      <c r="N269" s="192">
        <v>45611</v>
      </c>
      <c r="O269" s="219" t="s">
        <v>1058</v>
      </c>
      <c r="P269" s="220" t="str">
        <f>IF(LEFT(B269,5)="09735",
    IF(ISNA(VLOOKUP(Tabla1313[[#This Row],[Apoyo]],'LM SAP'!A:G,1,FALSE)),
        "No Disponible",
        IF(VLOOKUP(Tabla1313[[#This Row],[Apoyo]],'LM SAP'!A:AD,9,FALSE)="RR",
            "Disponible",
            "Firmas SAP"
        )
    ),
    "CONSULTAR"
)</f>
        <v>No Disponible</v>
      </c>
      <c r="Q269" s="63" t="str">
        <f>MID(Tabla1313[[#This Row],[Código Indra]],1,13)</f>
        <v>0973525073300</v>
      </c>
      <c r="R269" s="121" t="s">
        <v>255</v>
      </c>
      <c r="S269" s="63" t="str">
        <f>IF(ISNA(VLOOKUP(Tabla1313[[#This Row],[Código Indra]],#REF!,1,FALSE)),"NO", "SI")</f>
        <v>SI</v>
      </c>
      <c r="T269" s="91"/>
      <c r="U269">
        <v>0</v>
      </c>
      <c r="V269" t="e">
        <f>VLOOKUP(Tabla1313[[#This Row],[Apoyo]],'LM SAP'!A:I,9,FALSE)</f>
        <v>#N/A</v>
      </c>
      <c r="W269" t="e">
        <f>VLOOKUP(Tabla1313[[#This Row],[Código Indra]],#REF!,1,FALSE)</f>
        <v>#REF!</v>
      </c>
    </row>
    <row r="270" spans="1:23" s="110" customFormat="1" ht="48" x14ac:dyDescent="0.25">
      <c r="A270" s="64">
        <v>365</v>
      </c>
      <c r="B270" s="64" t="s">
        <v>1059</v>
      </c>
      <c r="C270" s="75" t="s">
        <v>1060</v>
      </c>
      <c r="D270" s="64"/>
      <c r="E270" s="76"/>
      <c r="F270" s="64">
        <v>6</v>
      </c>
      <c r="G270" s="61" t="s">
        <v>622</v>
      </c>
      <c r="H270" s="61" t="s">
        <v>275</v>
      </c>
      <c r="I270" s="64"/>
      <c r="J270" s="64"/>
      <c r="K270" s="213" t="s">
        <v>215</v>
      </c>
      <c r="L270" s="191">
        <v>60004839</v>
      </c>
      <c r="M270" s="192">
        <v>45607</v>
      </c>
      <c r="N270" s="192"/>
      <c r="O270" s="268" t="s">
        <v>1061</v>
      </c>
      <c r="P270" s="220" t="str">
        <f>IF(LEFT(B270,5)="09735",
    IF(ISNA(VLOOKUP(Tabla1313[[#This Row],[Apoyo]],'LM SAP'!A:G,1,FALSE)),
        "No Disponible",
        IF(VLOOKUP(Tabla1313[[#This Row],[Apoyo]],'LM SAP'!A:AD,9,FALSE)="RR",
            "Disponible",
            "Firmas SAP"
        )
    ),
    "CONSULTAR"
)</f>
        <v>CONSULTAR</v>
      </c>
      <c r="Q270" s="63" t="str">
        <f>MID(Tabla1313[[#This Row],[Código Indra]],1,13)</f>
        <v>0915437020000</v>
      </c>
      <c r="R270" t="s">
        <v>255</v>
      </c>
      <c r="S270" s="63" t="str">
        <f>IF(ISNA(VLOOKUP(Tabla1313[[#This Row],[Código Indra]],#REF!,1,FALSE)),"NO", "SI")</f>
        <v>SI</v>
      </c>
      <c r="T270" s="58"/>
      <c r="U270">
        <v>0</v>
      </c>
      <c r="V270" s="110" t="e">
        <f>VLOOKUP(Tabla1313[[#This Row],[Apoyo]],'LM SAP'!A:I,9,FALSE)</f>
        <v>#N/A</v>
      </c>
      <c r="W270" s="110" t="e">
        <f>VLOOKUP(Tabla1313[[#This Row],[Código Indra]],#REF!,1,FALSE)</f>
        <v>#REF!</v>
      </c>
    </row>
    <row r="271" spans="1:23" s="130" customFormat="1" ht="48" x14ac:dyDescent="0.25">
      <c r="A271" s="64">
        <v>457</v>
      </c>
      <c r="B271" s="61" t="s">
        <v>1062</v>
      </c>
      <c r="C271" s="76" t="s">
        <v>1063</v>
      </c>
      <c r="D271" s="64" t="s">
        <v>601</v>
      </c>
      <c r="E271" s="76" t="s">
        <v>1064</v>
      </c>
      <c r="F271" s="64">
        <v>1</v>
      </c>
      <c r="G271" s="61" t="s">
        <v>234</v>
      </c>
      <c r="H271" s="61" t="s">
        <v>250</v>
      </c>
      <c r="I271" s="64" t="s">
        <v>251</v>
      </c>
      <c r="J271" s="64"/>
      <c r="K271" s="213" t="s">
        <v>216</v>
      </c>
      <c r="L271" s="222">
        <v>60005189</v>
      </c>
      <c r="M271" s="223">
        <v>45622</v>
      </c>
      <c r="N271" s="192"/>
      <c r="O271" s="238" t="s">
        <v>1065</v>
      </c>
      <c r="P271" s="133" t="str">
        <f>IF(LEFT(B271,5)="09735",
    IF(ISNA(VLOOKUP(Tabla1313[[#This Row],[Apoyo]],'LM SAP'!A:G,1,FALSE)),
        "No Disponible",
        IF(VLOOKUP(Tabla1313[[#This Row],[Apoyo]],'LM SAP'!A:AD,9,FALSE)="RR",
            "Disponible",
            "Firmas SAP"
        )
    ),
    "CONSULTAR"
)</f>
        <v>No Disponible</v>
      </c>
      <c r="Q271" s="127" t="str">
        <f>MID(Tabla1313[[#This Row],[Código Indra]],1,13)</f>
        <v>0973544330310</v>
      </c>
      <c r="R271" s="130" t="s">
        <v>255</v>
      </c>
      <c r="S271" s="127" t="str">
        <f>IF(ISNA(VLOOKUP(Tabla1313[[#This Row],[Código Indra]],#REF!,1,FALSE)),"NO", "SI")</f>
        <v>SI</v>
      </c>
      <c r="T271" s="134"/>
      <c r="U271" s="130" t="s">
        <v>256</v>
      </c>
      <c r="V271" s="130" t="e">
        <f>VLOOKUP(Tabla1313[[#This Row],[Apoyo]],'LM SAP'!A:I,9,FALSE)</f>
        <v>#N/A</v>
      </c>
      <c r="W271" s="130" t="e">
        <f>VLOOKUP(Tabla1313[[#This Row],[Código Indra]],#REF!,1,FALSE)</f>
        <v>#REF!</v>
      </c>
    </row>
    <row r="272" spans="1:23" s="130" customFormat="1" ht="48" x14ac:dyDescent="0.25">
      <c r="A272" s="64">
        <v>458</v>
      </c>
      <c r="B272" s="64" t="s">
        <v>1066</v>
      </c>
      <c r="C272" s="75" t="s">
        <v>1067</v>
      </c>
      <c r="D272" s="61" t="s">
        <v>601</v>
      </c>
      <c r="E272" s="75" t="s">
        <v>1068</v>
      </c>
      <c r="F272" s="64">
        <v>1</v>
      </c>
      <c r="G272" s="61" t="s">
        <v>234</v>
      </c>
      <c r="H272" s="61" t="s">
        <v>250</v>
      </c>
      <c r="I272" s="61" t="s">
        <v>251</v>
      </c>
      <c r="J272" s="64"/>
      <c r="K272" s="213" t="s">
        <v>216</v>
      </c>
      <c r="L272" s="222">
        <v>60005189</v>
      </c>
      <c r="M272" s="223">
        <v>45622</v>
      </c>
      <c r="N272" s="192"/>
      <c r="O272" s="238" t="s">
        <v>1065</v>
      </c>
      <c r="P272" s="133" t="str">
        <f>IF(LEFT(B272,5)="09735",
    IF(ISNA(VLOOKUP(Tabla1313[[#This Row],[Apoyo]],'LM SAP'!A:G,1,FALSE)),
        "No Disponible",
        IF(VLOOKUP(Tabla1313[[#This Row],[Apoyo]],'LM SAP'!A:AD,9,FALSE)="RR",
            "Disponible",
            "Firmas SAP"
        )
    ),
    "CONSULTAR"
)</f>
        <v>No Disponible</v>
      </c>
      <c r="Q272" s="127" t="str">
        <f>MID(Tabla1313[[#This Row],[Código Indra]],1,13)</f>
        <v>0973544330311</v>
      </c>
      <c r="R272" s="130" t="s">
        <v>255</v>
      </c>
      <c r="S272" s="127" t="str">
        <f>IF(ISNA(VLOOKUP(Tabla1313[[#This Row],[Código Indra]],#REF!,1,FALSE)),"NO", "SI")</f>
        <v>SI</v>
      </c>
      <c r="T272" s="134"/>
      <c r="U272" s="130" t="s">
        <v>256</v>
      </c>
      <c r="V272" s="130" t="e">
        <f>VLOOKUP(Tabla1313[[#This Row],[Apoyo]],'LM SAP'!A:I,9,FALSE)</f>
        <v>#N/A</v>
      </c>
      <c r="W272" s="130" t="e">
        <f>VLOOKUP(Tabla1313[[#This Row],[Código Indra]],#REF!,1,FALSE)</f>
        <v>#REF!</v>
      </c>
    </row>
    <row r="273" spans="1:23" s="130" customFormat="1" ht="48" x14ac:dyDescent="0.25">
      <c r="A273" s="64">
        <v>459</v>
      </c>
      <c r="B273" s="61" t="s">
        <v>1069</v>
      </c>
      <c r="C273" s="76" t="s">
        <v>1070</v>
      </c>
      <c r="D273" s="64" t="s">
        <v>601</v>
      </c>
      <c r="E273" s="76" t="s">
        <v>1071</v>
      </c>
      <c r="F273" s="64">
        <v>1</v>
      </c>
      <c r="G273" s="61" t="s">
        <v>234</v>
      </c>
      <c r="H273" s="61" t="s">
        <v>250</v>
      </c>
      <c r="I273" s="64" t="s">
        <v>251</v>
      </c>
      <c r="J273" s="64"/>
      <c r="K273" s="213" t="s">
        <v>216</v>
      </c>
      <c r="L273" s="222">
        <v>60005189</v>
      </c>
      <c r="M273" s="223">
        <v>45622</v>
      </c>
      <c r="N273" s="192"/>
      <c r="O273" s="238" t="s">
        <v>1065</v>
      </c>
      <c r="P273" s="133" t="str">
        <f>IF(LEFT(B273,5)="09735",
    IF(ISNA(VLOOKUP(Tabla1313[[#This Row],[Apoyo]],'LM SAP'!A:G,1,FALSE)),
        "No Disponible",
        IF(VLOOKUP(Tabla1313[[#This Row],[Apoyo]],'LM SAP'!A:AD,9,FALSE)="RR",
            "Disponible",
            "Firmas SAP"
        )
    ),
    "CONSULTAR"
)</f>
        <v>No Disponible</v>
      </c>
      <c r="Q273" s="127" t="str">
        <f>MID(Tabla1313[[#This Row],[Código Indra]],1,13)</f>
        <v>0973544330312</v>
      </c>
      <c r="R273" s="130" t="s">
        <v>255</v>
      </c>
      <c r="S273" s="127" t="str">
        <f>IF(ISNA(VLOOKUP(Tabla1313[[#This Row],[Código Indra]],#REF!,1,FALSE)),"NO", "SI")</f>
        <v>SI</v>
      </c>
      <c r="T273" s="134"/>
      <c r="U273" s="130" t="s">
        <v>256</v>
      </c>
      <c r="V273" s="130" t="e">
        <f>VLOOKUP(Tabla1313[[#This Row],[Apoyo]],'LM SAP'!A:I,9,FALSE)</f>
        <v>#N/A</v>
      </c>
      <c r="W273" s="130" t="e">
        <f>VLOOKUP(Tabla1313[[#This Row],[Código Indra]],#REF!,1,FALSE)</f>
        <v>#REF!</v>
      </c>
    </row>
    <row r="274" spans="1:23" s="130" customFormat="1" ht="48" x14ac:dyDescent="0.25">
      <c r="A274" s="64">
        <v>460</v>
      </c>
      <c r="B274" s="64" t="s">
        <v>1072</v>
      </c>
      <c r="C274" s="75" t="s">
        <v>1073</v>
      </c>
      <c r="D274" s="61" t="s">
        <v>601</v>
      </c>
      <c r="E274" s="75" t="s">
        <v>1074</v>
      </c>
      <c r="F274" s="64">
        <v>1</v>
      </c>
      <c r="G274" s="61" t="s">
        <v>234</v>
      </c>
      <c r="H274" s="61" t="s">
        <v>250</v>
      </c>
      <c r="I274" s="61" t="s">
        <v>251</v>
      </c>
      <c r="J274" s="64"/>
      <c r="K274" s="213" t="s">
        <v>216</v>
      </c>
      <c r="L274" s="222">
        <v>60005189</v>
      </c>
      <c r="M274" s="223">
        <v>45622</v>
      </c>
      <c r="N274" s="192"/>
      <c r="O274" s="238" t="s">
        <v>1065</v>
      </c>
      <c r="P274" s="133" t="str">
        <f>IF(LEFT(B274,5)="09735",
    IF(ISNA(VLOOKUP(Tabla1313[[#This Row],[Apoyo]],'LM SAP'!A:G,1,FALSE)),
        "No Disponible",
        IF(VLOOKUP(Tabla1313[[#This Row],[Apoyo]],'LM SAP'!A:AD,9,FALSE)="RR",
            "Disponible",
            "Firmas SAP"
        )
    ),
    "CONSULTAR"
)</f>
        <v>No Disponible</v>
      </c>
      <c r="Q274" s="127" t="str">
        <f>MID(Tabla1313[[#This Row],[Código Indra]],1,13)</f>
        <v>0973544330313</v>
      </c>
      <c r="R274" s="130" t="s">
        <v>255</v>
      </c>
      <c r="S274" s="127" t="str">
        <f>IF(ISNA(VLOOKUP(Tabla1313[[#This Row],[Código Indra]],#REF!,1,FALSE)),"NO", "SI")</f>
        <v>SI</v>
      </c>
      <c r="T274" s="134"/>
      <c r="U274" s="130" t="s">
        <v>256</v>
      </c>
      <c r="V274" s="130" t="e">
        <f>VLOOKUP(Tabla1313[[#This Row],[Apoyo]],'LM SAP'!A:I,9,FALSE)</f>
        <v>#N/A</v>
      </c>
      <c r="W274" s="130" t="e">
        <f>VLOOKUP(Tabla1313[[#This Row],[Código Indra]],#REF!,1,FALSE)</f>
        <v>#REF!</v>
      </c>
    </row>
    <row r="275" spans="1:23" s="130" customFormat="1" ht="45" x14ac:dyDescent="0.25">
      <c r="A275" s="64">
        <v>461</v>
      </c>
      <c r="B275" s="61" t="s">
        <v>1075</v>
      </c>
      <c r="C275" s="76" t="s">
        <v>1076</v>
      </c>
      <c r="D275" s="64" t="s">
        <v>248</v>
      </c>
      <c r="E275" s="76" t="s">
        <v>1077</v>
      </c>
      <c r="F275" s="64">
        <v>1</v>
      </c>
      <c r="G275" s="61" t="s">
        <v>234</v>
      </c>
      <c r="H275" s="61" t="s">
        <v>480</v>
      </c>
      <c r="I275" s="64" t="s">
        <v>251</v>
      </c>
      <c r="J275" s="64"/>
      <c r="K275" s="213" t="s">
        <v>252</v>
      </c>
      <c r="L275" s="214">
        <v>60004987</v>
      </c>
      <c r="M275" s="192">
        <v>45615</v>
      </c>
      <c r="N275" s="208" t="s">
        <v>253</v>
      </c>
      <c r="O275" s="217" t="s">
        <v>254</v>
      </c>
      <c r="P275" s="133" t="str">
        <f>IF(LEFT(B275,5)="09735",
    IF(ISNA(VLOOKUP(Tabla1313[[#This Row],[Apoyo]],'LM SAP'!A:G,1,FALSE)),
        "No Disponible",
        IF(VLOOKUP(Tabla1313[[#This Row],[Apoyo]],'LM SAP'!A:AD,9,FALSE)="RR",
            "Disponible",
            "Firmas SAP"
        )
    ),
    "CONSULTAR"
)</f>
        <v>No Disponible</v>
      </c>
      <c r="Q275" s="127" t="str">
        <f>MID(Tabla1313[[#This Row],[Código Indra]],1,13)</f>
        <v>0973544330175</v>
      </c>
      <c r="R275" s="130" t="s">
        <v>255</v>
      </c>
      <c r="S275" s="127" t="str">
        <f>IF(ISNA(VLOOKUP(Tabla1313[[#This Row],[Código Indra]],#REF!,1,FALSE)),"NO", "SI")</f>
        <v>SI</v>
      </c>
      <c r="T275" s="134"/>
      <c r="U275" s="130" t="s">
        <v>256</v>
      </c>
      <c r="V275" s="130" t="e">
        <f>VLOOKUP(Tabla1313[[#This Row],[Apoyo]],'LM SAP'!A:I,9,FALSE)</f>
        <v>#N/A</v>
      </c>
      <c r="W275" s="130" t="e">
        <f>VLOOKUP(Tabla1313[[#This Row],[Código Indra]],#REF!,1,FALSE)</f>
        <v>#REF!</v>
      </c>
    </row>
    <row r="276" spans="1:23" s="130" customFormat="1" ht="45" x14ac:dyDescent="0.25">
      <c r="A276" s="64">
        <v>462</v>
      </c>
      <c r="B276" s="64" t="s">
        <v>1078</v>
      </c>
      <c r="C276" s="75" t="s">
        <v>1079</v>
      </c>
      <c r="D276" s="61" t="s">
        <v>248</v>
      </c>
      <c r="E276" s="75" t="s">
        <v>1080</v>
      </c>
      <c r="F276" s="64">
        <v>1</v>
      </c>
      <c r="G276" s="61" t="s">
        <v>234</v>
      </c>
      <c r="H276" s="61" t="s">
        <v>480</v>
      </c>
      <c r="I276" s="61" t="s">
        <v>251</v>
      </c>
      <c r="J276" s="64"/>
      <c r="K276" s="213" t="s">
        <v>252</v>
      </c>
      <c r="L276" s="191">
        <v>60004987</v>
      </c>
      <c r="M276" s="192">
        <v>45615</v>
      </c>
      <c r="N276" s="192" t="s">
        <v>253</v>
      </c>
      <c r="O276" s="217" t="s">
        <v>254</v>
      </c>
      <c r="P276" s="133" t="str">
        <f>IF(LEFT(B276,5)="09735",
    IF(ISNA(VLOOKUP(Tabla1313[[#This Row],[Apoyo]],'LM SAP'!A:G,1,FALSE)),
        "No Disponible",
        IF(VLOOKUP(Tabla1313[[#This Row],[Apoyo]],'LM SAP'!A:AD,9,FALSE)="RR",
            "Disponible",
            "Firmas SAP"
        )
    ),
    "CONSULTAR"
)</f>
        <v>No Disponible</v>
      </c>
      <c r="Q276" s="127" t="str">
        <f>MID(Tabla1313[[#This Row],[Código Indra]],1,13)</f>
        <v>0973544330176</v>
      </c>
      <c r="R276" s="130" t="s">
        <v>255</v>
      </c>
      <c r="S276" s="127" t="str">
        <f>IF(ISNA(VLOOKUP(Tabla1313[[#This Row],[Código Indra]],#REF!,1,FALSE)),"NO", "SI")</f>
        <v>SI</v>
      </c>
      <c r="T276" s="134"/>
      <c r="U276" s="130" t="s">
        <v>256</v>
      </c>
      <c r="V276" s="130" t="e">
        <f>VLOOKUP(Tabla1313[[#This Row],[Apoyo]],'LM SAP'!A:I,9,FALSE)</f>
        <v>#N/A</v>
      </c>
      <c r="W276" s="130" t="e">
        <f>VLOOKUP(Tabla1313[[#This Row],[Código Indra]],#REF!,1,FALSE)</f>
        <v>#REF!</v>
      </c>
    </row>
    <row r="277" spans="1:23" s="130" customFormat="1" ht="45" x14ac:dyDescent="0.25">
      <c r="A277" s="64">
        <v>463</v>
      </c>
      <c r="B277" s="61" t="s">
        <v>1081</v>
      </c>
      <c r="C277" s="76" t="s">
        <v>1076</v>
      </c>
      <c r="D277" s="64" t="s">
        <v>248</v>
      </c>
      <c r="E277" s="76" t="s">
        <v>1082</v>
      </c>
      <c r="F277" s="64">
        <v>1</v>
      </c>
      <c r="G277" s="61" t="s">
        <v>234</v>
      </c>
      <c r="H277" s="61" t="s">
        <v>480</v>
      </c>
      <c r="I277" s="64" t="s">
        <v>251</v>
      </c>
      <c r="J277" s="64"/>
      <c r="K277" s="213" t="s">
        <v>252</v>
      </c>
      <c r="L277" s="191">
        <v>60004987</v>
      </c>
      <c r="M277" s="192">
        <v>45615</v>
      </c>
      <c r="N277" s="208" t="s">
        <v>253</v>
      </c>
      <c r="O277" s="217" t="s">
        <v>254</v>
      </c>
      <c r="P277" s="133" t="str">
        <f>IF(LEFT(B277,5)="09735",
    IF(ISNA(VLOOKUP(Tabla1313[[#This Row],[Apoyo]],'LM SAP'!A:G,1,FALSE)),
        "No Disponible",
        IF(VLOOKUP(Tabla1313[[#This Row],[Apoyo]],'LM SAP'!A:AD,9,FALSE)="RR",
            "Disponible",
            "Firmas SAP"
        )
    ),
    "CONSULTAR"
)</f>
        <v>Disponible</v>
      </c>
      <c r="Q277" s="127" t="str">
        <f>MID(Tabla1313[[#This Row],[Código Indra]],1,13)</f>
        <v>0973544330180</v>
      </c>
      <c r="R277" s="130" t="s">
        <v>255</v>
      </c>
      <c r="S277" s="127" t="str">
        <f>IF(ISNA(VLOOKUP(Tabla1313[[#This Row],[Código Indra]],#REF!,1,FALSE)),"NO", "SI")</f>
        <v>SI</v>
      </c>
      <c r="T277" s="134"/>
      <c r="U277" s="130" t="s">
        <v>256</v>
      </c>
      <c r="V277" s="130" t="str">
        <f>VLOOKUP(Tabla1313[[#This Row],[Apoyo]],'LM SAP'!A:I,9,FALSE)</f>
        <v>RR</v>
      </c>
      <c r="W277" s="130" t="e">
        <f>VLOOKUP(Tabla1313[[#This Row],[Código Indra]],#REF!,1,FALSE)</f>
        <v>#REF!</v>
      </c>
    </row>
    <row r="278" spans="1:23" s="130" customFormat="1" ht="45" x14ac:dyDescent="0.25">
      <c r="A278" s="64">
        <v>464</v>
      </c>
      <c r="B278" s="64" t="s">
        <v>1083</v>
      </c>
      <c r="C278" s="75" t="s">
        <v>1084</v>
      </c>
      <c r="D278" s="61" t="s">
        <v>248</v>
      </c>
      <c r="E278" s="75" t="s">
        <v>1085</v>
      </c>
      <c r="F278" s="64">
        <v>1</v>
      </c>
      <c r="G278" s="61" t="s">
        <v>234</v>
      </c>
      <c r="H278" s="61" t="s">
        <v>480</v>
      </c>
      <c r="I278" s="61" t="s">
        <v>251</v>
      </c>
      <c r="J278" s="64"/>
      <c r="K278" s="213" t="s">
        <v>252</v>
      </c>
      <c r="L278" s="191">
        <v>60004987</v>
      </c>
      <c r="M278" s="192">
        <v>45615</v>
      </c>
      <c r="N278" s="192" t="s">
        <v>253</v>
      </c>
      <c r="O278" s="217" t="s">
        <v>254</v>
      </c>
      <c r="P278" s="133" t="str">
        <f>IF(LEFT(B278,5)="09735",
    IF(ISNA(VLOOKUP(Tabla1313[[#This Row],[Apoyo]],'LM SAP'!A:G,1,FALSE)),
        "No Disponible",
        IF(VLOOKUP(Tabla1313[[#This Row],[Apoyo]],'LM SAP'!A:AD,9,FALSE)="RR",
            "Disponible",
            "Firmas SAP"
        )
    ),
    "CONSULTAR"
)</f>
        <v>Disponible</v>
      </c>
      <c r="Q278" s="127" t="str">
        <f>MID(Tabla1313[[#This Row],[Código Indra]],1,13)</f>
        <v>0973544330181</v>
      </c>
      <c r="R278" s="130" t="s">
        <v>255</v>
      </c>
      <c r="S278" s="127" t="str">
        <f>IF(ISNA(VLOOKUP(Tabla1313[[#This Row],[Código Indra]],#REF!,1,FALSE)),"NO", "SI")</f>
        <v>SI</v>
      </c>
      <c r="T278" s="134"/>
      <c r="U278" s="130" t="s">
        <v>256</v>
      </c>
      <c r="V278" s="130" t="str">
        <f>VLOOKUP(Tabla1313[[#This Row],[Apoyo]],'LM SAP'!A:I,9,FALSE)</f>
        <v>RR</v>
      </c>
      <c r="W278" s="130" t="e">
        <f>VLOOKUP(Tabla1313[[#This Row],[Código Indra]],#REF!,1,FALSE)</f>
        <v>#REF!</v>
      </c>
    </row>
    <row r="279" spans="1:23" ht="30" x14ac:dyDescent="0.25">
      <c r="A279" s="64">
        <v>465</v>
      </c>
      <c r="B279" s="61" t="s">
        <v>1086</v>
      </c>
      <c r="C279" s="76" t="s">
        <v>1087</v>
      </c>
      <c r="D279" s="64" t="s">
        <v>1088</v>
      </c>
      <c r="E279" s="76" t="s">
        <v>1089</v>
      </c>
      <c r="F279" s="64">
        <v>1</v>
      </c>
      <c r="G279" s="61" t="s">
        <v>234</v>
      </c>
      <c r="H279" s="61" t="s">
        <v>275</v>
      </c>
      <c r="I279" s="64" t="s">
        <v>321</v>
      </c>
      <c r="J279" s="64"/>
      <c r="K279" s="213" t="s">
        <v>215</v>
      </c>
      <c r="L279" s="191">
        <v>60005367</v>
      </c>
      <c r="M279" s="192">
        <v>45637</v>
      </c>
      <c r="N279" s="192"/>
      <c r="O279" s="102"/>
      <c r="P279" s="62" t="str">
        <f>IF(LEFT(B279,5)="09735",
    IF(ISNA(VLOOKUP(Tabla1313[[#This Row],[Apoyo]],'LM SAP'!A:G,1,FALSE)),
        "No Disponible",
        IF(VLOOKUP(Tabla1313[[#This Row],[Apoyo]],'LM SAP'!A:AD,9,FALSE)="RR",
            "Disponible",
            "Firmas SAP"
        )
    ),
    "CONSULTAR"
)</f>
        <v>No Disponible</v>
      </c>
      <c r="Q279" s="63" t="str">
        <f>MID(Tabla1313[[#This Row],[Código Indra]],1,13)</f>
        <v>0973524020100</v>
      </c>
      <c r="R279" t="s">
        <v>255</v>
      </c>
      <c r="S279" s="63" t="str">
        <f>IF(ISNA(VLOOKUP(Tabla1313[[#This Row],[Código Indra]],#REF!,1,FALSE)),"NO", "SI")</f>
        <v>SI</v>
      </c>
      <c r="T279" s="58"/>
      <c r="U279" t="s">
        <v>256</v>
      </c>
      <c r="V279" t="e">
        <f>VLOOKUP(Tabla1313[[#This Row],[Apoyo]],'LM SAP'!A:I,9,FALSE)</f>
        <v>#N/A</v>
      </c>
      <c r="W279" t="e">
        <f>VLOOKUP(Tabla1313[[#This Row],[Código Indra]],#REF!,1,FALSE)</f>
        <v>#REF!</v>
      </c>
    </row>
    <row r="280" spans="1:23" ht="30" x14ac:dyDescent="0.25">
      <c r="A280" s="64">
        <v>466</v>
      </c>
      <c r="B280" s="64" t="s">
        <v>1090</v>
      </c>
      <c r="C280" s="75" t="s">
        <v>1091</v>
      </c>
      <c r="D280" s="61" t="s">
        <v>1092</v>
      </c>
      <c r="E280" s="75" t="s">
        <v>1093</v>
      </c>
      <c r="F280" s="64">
        <v>1</v>
      </c>
      <c r="G280" s="61" t="s">
        <v>234</v>
      </c>
      <c r="H280" s="61" t="s">
        <v>275</v>
      </c>
      <c r="I280" s="61" t="s">
        <v>321</v>
      </c>
      <c r="J280" s="64"/>
      <c r="K280" s="213" t="s">
        <v>215</v>
      </c>
      <c r="L280" s="191">
        <v>60005368</v>
      </c>
      <c r="M280" s="192">
        <v>45637</v>
      </c>
      <c r="N280" s="192"/>
      <c r="O280" s="102"/>
      <c r="P280" s="62" t="str">
        <f>IF(LEFT(B280,5)="09735",
    IF(ISNA(VLOOKUP(Tabla1313[[#This Row],[Apoyo]],'LM SAP'!A:G,1,FALSE)),
        "No Disponible",
        IF(VLOOKUP(Tabla1313[[#This Row],[Apoyo]],'LM SAP'!A:AD,9,FALSE)="RR",
            "Disponible",
            "Firmas SAP"
        )
    ),
    "CONSULTAR"
)</f>
        <v>No Disponible</v>
      </c>
      <c r="Q280" s="63" t="str">
        <f>MID(Tabla1313[[#This Row],[Código Indra]],1,13)</f>
        <v>0973524020200</v>
      </c>
      <c r="R280" t="s">
        <v>255</v>
      </c>
      <c r="S280" s="63" t="str">
        <f>IF(ISNA(VLOOKUP(Tabla1313[[#This Row],[Código Indra]],#REF!,1,FALSE)),"NO", "SI")</f>
        <v>SI</v>
      </c>
      <c r="T280" s="58"/>
      <c r="U280" t="s">
        <v>256</v>
      </c>
      <c r="V280" t="e">
        <f>VLOOKUP(Tabla1313[[#This Row],[Apoyo]],'LM SAP'!A:I,9,FALSE)</f>
        <v>#N/A</v>
      </c>
      <c r="W280" t="e">
        <f>VLOOKUP(Tabla1313[[#This Row],[Código Indra]],#REF!,1,FALSE)</f>
        <v>#REF!</v>
      </c>
    </row>
    <row r="281" spans="1:23" ht="30" x14ac:dyDescent="0.25">
      <c r="A281" s="64">
        <v>467</v>
      </c>
      <c r="B281" s="61" t="s">
        <v>1094</v>
      </c>
      <c r="C281" s="76" t="s">
        <v>1095</v>
      </c>
      <c r="D281" s="64" t="s">
        <v>1096</v>
      </c>
      <c r="E281" s="76" t="s">
        <v>1097</v>
      </c>
      <c r="F281" s="64">
        <v>1</v>
      </c>
      <c r="G281" s="61" t="s">
        <v>234</v>
      </c>
      <c r="H281" s="61" t="s">
        <v>275</v>
      </c>
      <c r="I281" s="64" t="s">
        <v>321</v>
      </c>
      <c r="J281" s="64"/>
      <c r="K281" s="213" t="s">
        <v>212</v>
      </c>
      <c r="L281" s="191"/>
      <c r="M281" s="192"/>
      <c r="N281" s="192"/>
      <c r="O281" s="102"/>
      <c r="P281" s="62" t="str">
        <f>IF(LEFT(B281,5)="09735",
    IF(ISNA(VLOOKUP(Tabla1313[[#This Row],[Apoyo]],'LM SAP'!A:G,1,FALSE)),
        "No Disponible",
        IF(VLOOKUP(Tabla1313[[#This Row],[Apoyo]],'LM SAP'!A:AD,9,FALSE)="RR",
            "Disponible",
            "Firmas SAP"
        )
    ),
    "CONSULTAR"
)</f>
        <v>No Disponible</v>
      </c>
      <c r="Q281" s="63" t="str">
        <f>MID(Tabla1313[[#This Row],[Código Indra]],1,13)</f>
        <v>0973524020300</v>
      </c>
      <c r="R281" t="s">
        <v>255</v>
      </c>
      <c r="S281" s="63" t="str">
        <f>IF(ISNA(VLOOKUP(Tabla1313[[#This Row],[Código Indra]],#REF!,1,FALSE)),"NO", "SI")</f>
        <v>SI</v>
      </c>
      <c r="T281" s="58"/>
      <c r="U281" t="s">
        <v>256</v>
      </c>
      <c r="V281" t="e">
        <f>VLOOKUP(Tabla1313[[#This Row],[Apoyo]],'LM SAP'!A:I,9,FALSE)</f>
        <v>#N/A</v>
      </c>
      <c r="W281" t="e">
        <f>VLOOKUP(Tabla1313[[#This Row],[Código Indra]],#REF!,1,FALSE)</f>
        <v>#REF!</v>
      </c>
    </row>
    <row r="282" spans="1:23" ht="30" x14ac:dyDescent="0.25">
      <c r="A282" s="64">
        <v>468</v>
      </c>
      <c r="B282" s="61" t="s">
        <v>1098</v>
      </c>
      <c r="C282" s="75" t="s">
        <v>1099</v>
      </c>
      <c r="D282" s="61" t="s">
        <v>1100</v>
      </c>
      <c r="E282" s="75" t="s">
        <v>1101</v>
      </c>
      <c r="F282" s="64">
        <v>1</v>
      </c>
      <c r="G282" s="61" t="s">
        <v>234</v>
      </c>
      <c r="H282" s="61" t="s">
        <v>275</v>
      </c>
      <c r="I282" s="61" t="s">
        <v>321</v>
      </c>
      <c r="J282" s="64"/>
      <c r="K282" s="213" t="s">
        <v>212</v>
      </c>
      <c r="L282" s="191"/>
      <c r="M282" s="192"/>
      <c r="N282" s="192"/>
      <c r="O282" s="102"/>
      <c r="P282" s="62" t="str">
        <f>IF(LEFT(B282,5)="09735",
    IF(ISNA(VLOOKUP(Tabla1313[[#This Row],[Apoyo]],'LM SAP'!A:G,1,FALSE)),
        "No Disponible",
        IF(VLOOKUP(Tabla1313[[#This Row],[Apoyo]],'LM SAP'!A:AD,9,FALSE)="RR",
            "Disponible",
            "Firmas SAP"
        )
    ),
    "CONSULTAR"
)</f>
        <v>No Disponible</v>
      </c>
      <c r="Q282" s="63" t="str">
        <f>MID(Tabla1313[[#This Row],[Código Indra]],1,13)</f>
        <v>0973524020400</v>
      </c>
      <c r="R282" t="s">
        <v>255</v>
      </c>
      <c r="S282" s="63" t="str">
        <f>IF(ISNA(VLOOKUP(Tabla1313[[#This Row],[Código Indra]],#REF!,1,FALSE)),"NO", "SI")</f>
        <v>SI</v>
      </c>
      <c r="T282" s="58"/>
      <c r="U282" t="s">
        <v>256</v>
      </c>
      <c r="V282" t="e">
        <f>VLOOKUP(Tabla1313[[#This Row],[Apoyo]],'LM SAP'!A:I,9,FALSE)</f>
        <v>#N/A</v>
      </c>
      <c r="W282" t="e">
        <f>VLOOKUP(Tabla1313[[#This Row],[Código Indra]],#REF!,1,FALSE)</f>
        <v>#REF!</v>
      </c>
    </row>
    <row r="283" spans="1:23" ht="30" x14ac:dyDescent="0.25">
      <c r="A283" s="64">
        <v>469</v>
      </c>
      <c r="B283" s="61" t="s">
        <v>1102</v>
      </c>
      <c r="C283" s="76" t="s">
        <v>1103</v>
      </c>
      <c r="D283" s="64" t="s">
        <v>1104</v>
      </c>
      <c r="E283" s="76" t="s">
        <v>1105</v>
      </c>
      <c r="F283" s="64">
        <v>1</v>
      </c>
      <c r="G283" s="61" t="s">
        <v>234</v>
      </c>
      <c r="H283" s="61" t="s">
        <v>275</v>
      </c>
      <c r="I283" s="64" t="s">
        <v>321</v>
      </c>
      <c r="J283" s="64"/>
      <c r="K283" s="213" t="s">
        <v>215</v>
      </c>
      <c r="L283" s="222">
        <v>60005195</v>
      </c>
      <c r="M283" s="223">
        <v>45622</v>
      </c>
      <c r="N283" s="192"/>
      <c r="O283" s="147" t="s">
        <v>1106</v>
      </c>
      <c r="P283" s="62" t="str">
        <f>IF(LEFT(B283,5)="09735",
    IF(ISNA(VLOOKUP(Tabla1313[[#This Row],[Apoyo]],'LM SAP'!A:G,1,FALSE)),
        "No Disponible",
        IF(VLOOKUP(Tabla1313[[#This Row],[Apoyo]],'LM SAP'!A:AD,9,FALSE)="RR",
            "Disponible",
            "Firmas SAP"
        )
    ),
    "CONSULTAR"
)</f>
        <v>No Disponible</v>
      </c>
      <c r="Q283" s="63" t="str">
        <f>MID(Tabla1313[[#This Row],[Código Indra]],1,13)</f>
        <v>0973544020500</v>
      </c>
      <c r="R283" t="s">
        <v>255</v>
      </c>
      <c r="S283" s="63" t="str">
        <f>IF(ISNA(VLOOKUP(Tabla1313[[#This Row],[Código Indra]],#REF!,1,FALSE)),"NO", "SI")</f>
        <v>SI</v>
      </c>
      <c r="T283" s="58"/>
      <c r="U283" t="s">
        <v>256</v>
      </c>
      <c r="V283" t="e">
        <f>VLOOKUP(Tabla1313[[#This Row],[Apoyo]],'LM SAP'!A:I,9,FALSE)</f>
        <v>#N/A</v>
      </c>
      <c r="W283" t="e">
        <f>VLOOKUP(Tabla1313[[#This Row],[Código Indra]],#REF!,1,FALSE)</f>
        <v>#REF!</v>
      </c>
    </row>
    <row r="284" spans="1:23" ht="30" x14ac:dyDescent="0.25">
      <c r="A284" s="64">
        <v>470</v>
      </c>
      <c r="B284" s="64" t="s">
        <v>1107</v>
      </c>
      <c r="C284" s="75" t="s">
        <v>1108</v>
      </c>
      <c r="D284" s="61" t="s">
        <v>1109</v>
      </c>
      <c r="E284" s="75" t="s">
        <v>1110</v>
      </c>
      <c r="F284" s="64">
        <v>1</v>
      </c>
      <c r="G284" s="61" t="s">
        <v>234</v>
      </c>
      <c r="H284" s="61" t="s">
        <v>275</v>
      </c>
      <c r="I284" s="61" t="s">
        <v>321</v>
      </c>
      <c r="J284" s="64"/>
      <c r="K284" s="213" t="s">
        <v>215</v>
      </c>
      <c r="L284" s="222">
        <v>60005249</v>
      </c>
      <c r="M284" s="223">
        <v>45624</v>
      </c>
      <c r="N284" s="192"/>
      <c r="O284" s="147" t="s">
        <v>1111</v>
      </c>
      <c r="P284" s="62" t="str">
        <f>IF(LEFT(B284,5)="09735",
    IF(ISNA(VLOOKUP(Tabla1313[[#This Row],[Apoyo]],'LM SAP'!A:G,1,FALSE)),
        "No Disponible",
        IF(VLOOKUP(Tabla1313[[#This Row],[Apoyo]],'LM SAP'!A:AD,9,FALSE)="RR",
            "Disponible",
            "Firmas SAP"
        )
    ),
    "CONSULTAR"
)</f>
        <v>No Disponible</v>
      </c>
      <c r="Q284" s="63" t="str">
        <f>MID(Tabla1313[[#This Row],[Código Indra]],1,13)</f>
        <v>0973544020600</v>
      </c>
      <c r="R284" t="s">
        <v>255</v>
      </c>
      <c r="S284" s="63" t="str">
        <f>IF(ISNA(VLOOKUP(Tabla1313[[#This Row],[Código Indra]],#REF!,1,FALSE)),"NO", "SI")</f>
        <v>SI</v>
      </c>
      <c r="T284" s="58"/>
      <c r="U284" t="s">
        <v>256</v>
      </c>
      <c r="V284" t="e">
        <f>VLOOKUP(Tabla1313[[#This Row],[Apoyo]],'LM SAP'!A:I,9,FALSE)</f>
        <v>#N/A</v>
      </c>
      <c r="W284" t="e">
        <f>VLOOKUP(Tabla1313[[#This Row],[Código Indra]],#REF!,1,FALSE)</f>
        <v>#REF!</v>
      </c>
    </row>
    <row r="285" spans="1:23" s="130" customFormat="1" ht="45" x14ac:dyDescent="0.25">
      <c r="A285" s="152">
        <v>471</v>
      </c>
      <c r="B285" s="125" t="s">
        <v>1112</v>
      </c>
      <c r="C285" s="153" t="s">
        <v>1113</v>
      </c>
      <c r="D285" s="152" t="s">
        <v>1114</v>
      </c>
      <c r="E285" s="153" t="s">
        <v>1115</v>
      </c>
      <c r="F285" s="152">
        <v>1</v>
      </c>
      <c r="G285" s="125" t="s">
        <v>234</v>
      </c>
      <c r="H285" s="125" t="s">
        <v>275</v>
      </c>
      <c r="I285" s="152" t="s">
        <v>321</v>
      </c>
      <c r="J285" s="152"/>
      <c r="K285" s="250" t="s">
        <v>215</v>
      </c>
      <c r="L285" s="203">
        <v>60005380</v>
      </c>
      <c r="M285" s="198">
        <v>45637</v>
      </c>
      <c r="N285" s="198"/>
      <c r="O285" s="256"/>
      <c r="P285" s="133" t="str">
        <f>IF(LEFT(B285,5)="09735",
    IF(ISNA(VLOOKUP(Tabla1313[[#This Row],[Apoyo]],'LM SAP'!A:G,1,FALSE)),
        "No Disponible",
        IF(VLOOKUP(Tabla1313[[#This Row],[Apoyo]],'LM SAP'!A:AD,9,FALSE)="RR",
            "Disponible",
            "Firmas SAP"
        )
    ),
    "CONSULTAR"
)</f>
        <v>No Disponible</v>
      </c>
      <c r="Q285" s="127" t="str">
        <f>MID(Tabla1313[[#This Row],[Código Indra]],1,13)</f>
        <v>0973544020700</v>
      </c>
      <c r="R285" s="110" t="s">
        <v>255</v>
      </c>
      <c r="S285" s="127" t="str">
        <f>IF(ISNA(VLOOKUP(Tabla1313[[#This Row],[Código Indra]],#REF!,1,FALSE)),"NO", "SI")</f>
        <v>SI</v>
      </c>
      <c r="T285" s="134"/>
      <c r="U285" t="s">
        <v>256</v>
      </c>
      <c r="V285" t="e">
        <f>VLOOKUP(Tabla1313[[#This Row],[Apoyo]],'LM SAP'!A:I,9,FALSE)</f>
        <v>#N/A</v>
      </c>
      <c r="W285" s="130" t="e">
        <f>VLOOKUP(Tabla1313[[#This Row],[Código Indra]],#REF!,1,FALSE)</f>
        <v>#REF!</v>
      </c>
    </row>
    <row r="286" spans="1:23" ht="30" x14ac:dyDescent="0.25">
      <c r="A286" s="64">
        <v>472</v>
      </c>
      <c r="B286" s="64" t="s">
        <v>1116</v>
      </c>
      <c r="C286" s="75" t="s">
        <v>1117</v>
      </c>
      <c r="D286" s="61" t="s">
        <v>1118</v>
      </c>
      <c r="E286" s="75" t="s">
        <v>1119</v>
      </c>
      <c r="F286" s="64">
        <v>1</v>
      </c>
      <c r="G286" s="61" t="s">
        <v>234</v>
      </c>
      <c r="H286" s="61" t="s">
        <v>275</v>
      </c>
      <c r="I286" s="61" t="s">
        <v>321</v>
      </c>
      <c r="J286" s="64"/>
      <c r="K286" s="213" t="s">
        <v>215</v>
      </c>
      <c r="L286" s="222">
        <v>60005198</v>
      </c>
      <c r="M286" s="223">
        <v>45622</v>
      </c>
      <c r="N286" s="192"/>
      <c r="O286" s="147" t="s">
        <v>1120</v>
      </c>
      <c r="P286" s="62" t="str">
        <f>IF(LEFT(B286,5)="09735",
    IF(ISNA(VLOOKUP(Tabla1313[[#This Row],[Apoyo]],'LM SAP'!A:G,1,FALSE)),
        "No Disponible",
        IF(VLOOKUP(Tabla1313[[#This Row],[Apoyo]],'LM SAP'!A:AD,9,FALSE)="RR",
            "Disponible",
            "Firmas SAP"
        )
    ),
    "CONSULTAR"
)</f>
        <v>No Disponible</v>
      </c>
      <c r="Q286" s="63" t="str">
        <f>MID(Tabla1313[[#This Row],[Código Indra]],1,13)</f>
        <v>0973544020800</v>
      </c>
      <c r="R286" t="s">
        <v>255</v>
      </c>
      <c r="S286" s="63" t="str">
        <f>IF(ISNA(VLOOKUP(Tabla1313[[#This Row],[Código Indra]],#REF!,1,FALSE)),"NO", "SI")</f>
        <v>SI</v>
      </c>
      <c r="T286" s="58"/>
      <c r="U286" t="s">
        <v>256</v>
      </c>
      <c r="V286" t="e">
        <f>VLOOKUP(Tabla1313[[#This Row],[Apoyo]],'LM SAP'!A:I,9,FALSE)</f>
        <v>#N/A</v>
      </c>
      <c r="W286" t="e">
        <f>VLOOKUP(Tabla1313[[#This Row],[Código Indra]],#REF!,1,FALSE)</f>
        <v>#REF!</v>
      </c>
    </row>
    <row r="287" spans="1:23" ht="30" x14ac:dyDescent="0.25">
      <c r="A287" s="64">
        <v>473</v>
      </c>
      <c r="B287" s="61" t="s">
        <v>1121</v>
      </c>
      <c r="C287" s="76" t="s">
        <v>1122</v>
      </c>
      <c r="D287" s="64" t="s">
        <v>80</v>
      </c>
      <c r="E287" s="76" t="s">
        <v>1123</v>
      </c>
      <c r="F287" s="64">
        <v>1</v>
      </c>
      <c r="G287" s="61" t="s">
        <v>260</v>
      </c>
      <c r="H287" s="61" t="s">
        <v>261</v>
      </c>
      <c r="I287" s="64" t="s">
        <v>276</v>
      </c>
      <c r="J287" s="64"/>
      <c r="K287" s="213" t="s">
        <v>215</v>
      </c>
      <c r="L287" s="191">
        <v>60005316</v>
      </c>
      <c r="M287" s="192">
        <v>45637</v>
      </c>
      <c r="N287" s="192"/>
      <c r="O287" s="102"/>
      <c r="P287" s="62" t="str">
        <f>IF(LEFT(B287,5)="09735",
    IF(ISNA(VLOOKUP(Tabla1313[[#This Row],[Apoyo]],'LM SAP'!A:G,1,FALSE)),
        "No Disponible",
        IF(VLOOKUP(Tabla1313[[#This Row],[Apoyo]],'LM SAP'!A:AD,9,FALSE)="RR",
            "Disponible",
            "Firmas SAP"
        )
    ),
    "CONSULTAR"
)</f>
        <v>No Disponible</v>
      </c>
      <c r="Q287" s="63" t="str">
        <f>MID(Tabla1313[[#This Row],[Código Indra]],1,13)</f>
        <v>0973544300100</v>
      </c>
      <c r="R287" t="s">
        <v>255</v>
      </c>
      <c r="S287" s="63" t="str">
        <f>IF(ISNA(VLOOKUP(Tabla1313[[#This Row],[Código Indra]],#REF!,1,FALSE)),"NO", "SI")</f>
        <v>SI</v>
      </c>
      <c r="T287" s="58"/>
      <c r="U287" t="s">
        <v>256</v>
      </c>
      <c r="V287" t="e">
        <f>VLOOKUP(Tabla1313[[#This Row],[Apoyo]],'LM SAP'!A:I,9,FALSE)</f>
        <v>#N/A</v>
      </c>
      <c r="W287" t="e">
        <f>VLOOKUP(Tabla1313[[#This Row],[Código Indra]],#REF!,1,FALSE)</f>
        <v>#REF!</v>
      </c>
    </row>
    <row r="288" spans="1:23" ht="30" x14ac:dyDescent="0.25">
      <c r="A288" s="64">
        <v>474</v>
      </c>
      <c r="B288" s="64" t="s">
        <v>1124</v>
      </c>
      <c r="C288" s="75" t="s">
        <v>1125</v>
      </c>
      <c r="D288" s="61" t="s">
        <v>80</v>
      </c>
      <c r="E288" s="75" t="s">
        <v>1126</v>
      </c>
      <c r="F288" s="64">
        <v>1</v>
      </c>
      <c r="G288" s="61" t="s">
        <v>260</v>
      </c>
      <c r="H288" s="61" t="s">
        <v>261</v>
      </c>
      <c r="I288" s="61" t="s">
        <v>276</v>
      </c>
      <c r="J288" s="64"/>
      <c r="K288" s="213" t="s">
        <v>215</v>
      </c>
      <c r="L288" s="191">
        <v>60005317</v>
      </c>
      <c r="M288" s="192">
        <v>45637</v>
      </c>
      <c r="N288" s="192"/>
      <c r="O288" s="102"/>
      <c r="P288" s="62" t="str">
        <f>IF(LEFT(B288,5)="09735",
    IF(ISNA(VLOOKUP(Tabla1313[[#This Row],[Apoyo]],'LM SAP'!A:G,1,FALSE)),
        "No Disponible",
        IF(VLOOKUP(Tabla1313[[#This Row],[Apoyo]],'LM SAP'!A:AD,9,FALSE)="RR",
            "Disponible",
            "Firmas SAP"
        )
    ),
    "CONSULTAR"
)</f>
        <v>No Disponible</v>
      </c>
      <c r="Q288" s="63" t="str">
        <f>MID(Tabla1313[[#This Row],[Código Indra]],1,13)</f>
        <v>0973544300200</v>
      </c>
      <c r="R288" t="s">
        <v>255</v>
      </c>
      <c r="S288" s="63" t="str">
        <f>IF(ISNA(VLOOKUP(Tabla1313[[#This Row],[Código Indra]],#REF!,1,FALSE)),"NO", "SI")</f>
        <v>SI</v>
      </c>
      <c r="T288" s="58"/>
      <c r="U288" t="s">
        <v>256</v>
      </c>
      <c r="V288" t="e">
        <f>VLOOKUP(Tabla1313[[#This Row],[Apoyo]],'LM SAP'!A:I,9,FALSE)</f>
        <v>#N/A</v>
      </c>
      <c r="W288" t="e">
        <f>VLOOKUP(Tabla1313[[#This Row],[Código Indra]],#REF!,1,FALSE)</f>
        <v>#REF!</v>
      </c>
    </row>
    <row r="289" spans="1:23" s="130" customFormat="1" ht="30" x14ac:dyDescent="0.25">
      <c r="A289" s="152">
        <v>475</v>
      </c>
      <c r="B289" s="125" t="s">
        <v>1127</v>
      </c>
      <c r="C289" s="153" t="s">
        <v>1128</v>
      </c>
      <c r="D289" s="152" t="s">
        <v>80</v>
      </c>
      <c r="E289" s="153" t="s">
        <v>1129</v>
      </c>
      <c r="F289" s="152">
        <v>1</v>
      </c>
      <c r="G289" s="125" t="s">
        <v>260</v>
      </c>
      <c r="H289" s="125" t="s">
        <v>261</v>
      </c>
      <c r="I289" s="152" t="s">
        <v>276</v>
      </c>
      <c r="J289" s="152"/>
      <c r="K289" s="250" t="s">
        <v>215</v>
      </c>
      <c r="L289" s="203">
        <v>60005382</v>
      </c>
      <c r="M289" s="198">
        <v>45637</v>
      </c>
      <c r="N289" s="198"/>
      <c r="O289" s="256"/>
      <c r="P289" s="133" t="str">
        <f>IF(LEFT(B289,5)="09735",
    IF(ISNA(VLOOKUP(Tabla1313[[#This Row],[Apoyo]],'LM SAP'!A:G,1,FALSE)),
        "No Disponible",
        IF(VLOOKUP(Tabla1313[[#This Row],[Apoyo]],'LM SAP'!A:AD,9,FALSE)="RR",
            "Disponible",
            "Firmas SAP"
        )
    ),
    "CONSULTAR"
)</f>
        <v>No Disponible</v>
      </c>
      <c r="Q289" s="127" t="str">
        <f>MID(Tabla1313[[#This Row],[Código Indra]],1,13)</f>
        <v>0973544300300</v>
      </c>
      <c r="R289" t="s">
        <v>255</v>
      </c>
      <c r="S289" s="127" t="str">
        <f>IF(ISNA(VLOOKUP(Tabla1313[[#This Row],[Código Indra]],#REF!,1,FALSE)),"NO", "SI")</f>
        <v>SI</v>
      </c>
      <c r="T289" s="134"/>
      <c r="U289" t="s">
        <v>256</v>
      </c>
      <c r="V289" t="e">
        <f>VLOOKUP(Tabla1313[[#This Row],[Apoyo]],'LM SAP'!A:I,9,FALSE)</f>
        <v>#N/A</v>
      </c>
      <c r="W289" s="130" t="e">
        <f>VLOOKUP(Tabla1313[[#This Row],[Código Indra]],#REF!,1,FALSE)</f>
        <v>#REF!</v>
      </c>
    </row>
    <row r="290" spans="1:23" s="130" customFormat="1" ht="30" x14ac:dyDescent="0.25">
      <c r="A290" s="152">
        <v>476</v>
      </c>
      <c r="B290" s="152" t="s">
        <v>1130</v>
      </c>
      <c r="C290" s="126" t="s">
        <v>1131</v>
      </c>
      <c r="D290" s="125" t="s">
        <v>80</v>
      </c>
      <c r="E290" s="126" t="s">
        <v>1132</v>
      </c>
      <c r="F290" s="152">
        <v>1</v>
      </c>
      <c r="G290" s="125" t="s">
        <v>260</v>
      </c>
      <c r="H290" s="125" t="s">
        <v>261</v>
      </c>
      <c r="I290" s="125" t="s">
        <v>276</v>
      </c>
      <c r="J290" s="152"/>
      <c r="K290" s="250" t="s">
        <v>215</v>
      </c>
      <c r="L290" s="203">
        <v>60005383</v>
      </c>
      <c r="M290" s="198">
        <v>45637</v>
      </c>
      <c r="N290" s="198"/>
      <c r="O290" s="256"/>
      <c r="P290" s="133" t="str">
        <f>IF(LEFT(B290,5)="09735",
    IF(ISNA(VLOOKUP(Tabla1313[[#This Row],[Apoyo]],'LM SAP'!A:G,1,FALSE)),
        "No Disponible",
        IF(VLOOKUP(Tabla1313[[#This Row],[Apoyo]],'LM SAP'!A:AD,9,FALSE)="RR",
            "Disponible",
            "Firmas SAP"
        )
    ),
    "CONSULTAR"
)</f>
        <v>No Disponible</v>
      </c>
      <c r="Q290" s="127" t="str">
        <f>MID(Tabla1313[[#This Row],[Código Indra]],1,13)</f>
        <v>0973544300400</v>
      </c>
      <c r="R290" t="s">
        <v>255</v>
      </c>
      <c r="S290" s="127" t="str">
        <f>IF(ISNA(VLOOKUP(Tabla1313[[#This Row],[Código Indra]],#REF!,1,FALSE)),"NO", "SI")</f>
        <v>SI</v>
      </c>
      <c r="T290" s="134"/>
      <c r="U290" t="s">
        <v>256</v>
      </c>
      <c r="V290" t="e">
        <f>VLOOKUP(Tabla1313[[#This Row],[Apoyo]],'LM SAP'!A:I,9,FALSE)</f>
        <v>#N/A</v>
      </c>
      <c r="W290" s="130" t="e">
        <f>VLOOKUP(Tabla1313[[#This Row],[Código Indra]],#REF!,1,FALSE)</f>
        <v>#REF!</v>
      </c>
    </row>
    <row r="291" spans="1:23" ht="30" x14ac:dyDescent="0.25">
      <c r="A291" s="64">
        <v>477</v>
      </c>
      <c r="B291" s="61" t="s">
        <v>1133</v>
      </c>
      <c r="C291" s="76" t="s">
        <v>1134</v>
      </c>
      <c r="D291" s="64" t="s">
        <v>80</v>
      </c>
      <c r="E291" s="76" t="s">
        <v>1135</v>
      </c>
      <c r="F291" s="64">
        <v>1</v>
      </c>
      <c r="G291" s="61" t="s">
        <v>260</v>
      </c>
      <c r="H291" s="61" t="s">
        <v>261</v>
      </c>
      <c r="I291" s="64" t="s">
        <v>276</v>
      </c>
      <c r="J291" s="64"/>
      <c r="K291" s="213" t="s">
        <v>212</v>
      </c>
      <c r="L291" s="191"/>
      <c r="M291" s="192"/>
      <c r="N291" s="192"/>
      <c r="O291" s="102" t="s">
        <v>1136</v>
      </c>
      <c r="P291" s="62" t="str">
        <f>IF(LEFT(B291,5)="09735",
    IF(ISNA(VLOOKUP(Tabla1313[[#This Row],[Apoyo]],'LM SAP'!A:G,1,FALSE)),
        "No Disponible",
        IF(VLOOKUP(Tabla1313[[#This Row],[Apoyo]],'LM SAP'!A:AD,9,FALSE)="RR",
            "Disponible",
            "Firmas SAP"
        )
    ),
    "CONSULTAR"
)</f>
        <v>CONSULTAR</v>
      </c>
      <c r="Q291" s="63" t="str">
        <f>MID(Tabla1313[[#This Row],[Código Indra]],1,13)</f>
        <v>0972844304520</v>
      </c>
      <c r="R291" t="s">
        <v>260</v>
      </c>
      <c r="S291" s="63" t="str">
        <f>IF(ISNA(VLOOKUP(Tabla1313[[#This Row],[Código Indra]],#REF!,1,FALSE)),"NO", "SI")</f>
        <v>SI</v>
      </c>
      <c r="T291" s="58"/>
      <c r="U291" t="s">
        <v>260</v>
      </c>
      <c r="V291" t="e">
        <f>VLOOKUP(Tabla1313[[#This Row],[Apoyo]],'LM SAP'!A:I,9,FALSE)</f>
        <v>#N/A</v>
      </c>
      <c r="W291" t="e">
        <f>VLOOKUP(Tabla1313[[#This Row],[Código Indra]],#REF!,1,FALSE)</f>
        <v>#REF!</v>
      </c>
    </row>
    <row r="292" spans="1:23" ht="30" x14ac:dyDescent="0.25">
      <c r="A292" s="64">
        <v>478</v>
      </c>
      <c r="B292" s="64" t="s">
        <v>1137</v>
      </c>
      <c r="C292" s="75" t="s">
        <v>1138</v>
      </c>
      <c r="D292" s="61" t="s">
        <v>1091</v>
      </c>
      <c r="E292" s="75" t="s">
        <v>1139</v>
      </c>
      <c r="F292" s="64">
        <v>1</v>
      </c>
      <c r="G292" s="61" t="s">
        <v>234</v>
      </c>
      <c r="H292" s="61" t="s">
        <v>480</v>
      </c>
      <c r="I292" s="61" t="s">
        <v>321</v>
      </c>
      <c r="J292" s="64"/>
      <c r="K292" s="213" t="s">
        <v>219</v>
      </c>
      <c r="L292" s="191">
        <v>60005199</v>
      </c>
      <c r="M292" s="192">
        <v>45622</v>
      </c>
      <c r="N292" s="192">
        <v>45631</v>
      </c>
      <c r="O292" s="242" t="s">
        <v>711</v>
      </c>
      <c r="P292" s="62" t="str">
        <f>IF(LEFT(B292,5)="09735",
    IF(ISNA(VLOOKUP(Tabla1313[[#This Row],[Apoyo]],'LM SAP'!A:G,1,FALSE)),
        "No Disponible",
        IF(VLOOKUP(Tabla1313[[#This Row],[Apoyo]],'LM SAP'!A:AD,9,FALSE)="RR",
            "Disponible",
            "Firmas SAP"
        )
    ),
    "CONSULTAR"
)</f>
        <v>Disponible</v>
      </c>
      <c r="Q292" s="63" t="str">
        <f>MID(Tabla1313[[#This Row],[Código Indra]],1,13)</f>
        <v>0973545020201</v>
      </c>
      <c r="R292" t="s">
        <v>255</v>
      </c>
      <c r="S292" s="63" t="str">
        <f>IF(ISNA(VLOOKUP(Tabla1313[[#This Row],[Código Indra]],#REF!,1,FALSE)),"NO", "SI")</f>
        <v>SI</v>
      </c>
      <c r="T292" s="58"/>
      <c r="U292" t="s">
        <v>256</v>
      </c>
      <c r="V292" t="str">
        <f>VLOOKUP(Tabla1313[[#This Row],[Apoyo]],'LM SAP'!A:I,9,FALSE)</f>
        <v>RR</v>
      </c>
      <c r="W292" t="e">
        <f>VLOOKUP(Tabla1313[[#This Row],[Código Indra]],#REF!,1,FALSE)</f>
        <v>#REF!</v>
      </c>
    </row>
    <row r="293" spans="1:23" ht="30" x14ac:dyDescent="0.25">
      <c r="A293" s="64">
        <v>479</v>
      </c>
      <c r="B293" s="61" t="s">
        <v>1140</v>
      </c>
      <c r="C293" s="76" t="s">
        <v>1141</v>
      </c>
      <c r="D293" s="64" t="s">
        <v>1091</v>
      </c>
      <c r="E293" s="76" t="s">
        <v>1142</v>
      </c>
      <c r="F293" s="64">
        <v>1</v>
      </c>
      <c r="G293" s="61" t="s">
        <v>234</v>
      </c>
      <c r="H293" s="61" t="s">
        <v>480</v>
      </c>
      <c r="I293" s="64" t="s">
        <v>321</v>
      </c>
      <c r="J293" s="64"/>
      <c r="K293" s="213" t="s">
        <v>219</v>
      </c>
      <c r="L293" s="191">
        <v>60005200</v>
      </c>
      <c r="M293" s="192">
        <v>45622</v>
      </c>
      <c r="N293" s="192">
        <v>45631</v>
      </c>
      <c r="O293" s="242" t="s">
        <v>711</v>
      </c>
      <c r="P293" s="62" t="str">
        <f>IF(LEFT(B293,5)="09735",
    IF(ISNA(VLOOKUP(Tabla1313[[#This Row],[Apoyo]],'LM SAP'!A:G,1,FALSE)),
        "No Disponible",
        IF(VLOOKUP(Tabla1313[[#This Row],[Apoyo]],'LM SAP'!A:AD,9,FALSE)="RR",
            "Disponible",
            "Firmas SAP"
        )
    ),
    "CONSULTAR"
)</f>
        <v>Disponible</v>
      </c>
      <c r="Q293" s="63" t="str">
        <f>MID(Tabla1313[[#This Row],[Código Indra]],1,13)</f>
        <v>0973545020202</v>
      </c>
      <c r="R293" t="s">
        <v>255</v>
      </c>
      <c r="S293" s="63" t="str">
        <f>IF(ISNA(VLOOKUP(Tabla1313[[#This Row],[Código Indra]],#REF!,1,FALSE)),"NO", "SI")</f>
        <v>SI</v>
      </c>
      <c r="T293" s="58"/>
      <c r="U293" t="s">
        <v>256</v>
      </c>
      <c r="V293" t="str">
        <f>VLOOKUP(Tabla1313[[#This Row],[Apoyo]],'LM SAP'!A:I,9,FALSE)</f>
        <v>RR</v>
      </c>
      <c r="W293" t="e">
        <f>VLOOKUP(Tabla1313[[#This Row],[Código Indra]],#REF!,1,FALSE)</f>
        <v>#REF!</v>
      </c>
    </row>
    <row r="294" spans="1:23" ht="30" x14ac:dyDescent="0.25">
      <c r="A294" s="64">
        <v>480</v>
      </c>
      <c r="B294" s="64" t="s">
        <v>1143</v>
      </c>
      <c r="C294" s="75" t="s">
        <v>1144</v>
      </c>
      <c r="D294" s="61" t="s">
        <v>1087</v>
      </c>
      <c r="E294" s="75" t="s">
        <v>1145</v>
      </c>
      <c r="F294" s="64">
        <v>1</v>
      </c>
      <c r="G294" s="61" t="s">
        <v>234</v>
      </c>
      <c r="H294" s="61" t="s">
        <v>480</v>
      </c>
      <c r="I294" s="61" t="s">
        <v>321</v>
      </c>
      <c r="J294" s="64"/>
      <c r="K294" s="213" t="s">
        <v>221</v>
      </c>
      <c r="L294" s="191">
        <v>60005193</v>
      </c>
      <c r="M294" s="192">
        <v>45622</v>
      </c>
      <c r="N294" s="192">
        <v>45631</v>
      </c>
      <c r="O294" s="242" t="s">
        <v>711</v>
      </c>
      <c r="P294" s="62" t="str">
        <f>IF(LEFT(B294,5)="09735",
    IF(ISNA(VLOOKUP(Tabla1313[[#This Row],[Apoyo]],'LM SAP'!A:G,1,FALSE)),
        "No Disponible",
        IF(VLOOKUP(Tabla1313[[#This Row],[Apoyo]],'LM SAP'!A:AD,9,FALSE)="RR",
            "Disponible",
            "Firmas SAP"
        )
    ),
    "CONSULTAR"
)</f>
        <v>Disponible</v>
      </c>
      <c r="Q294" s="63" t="str">
        <f>MID(Tabla1313[[#This Row],[Código Indra]],1,13)</f>
        <v>0973545020103</v>
      </c>
      <c r="R294" t="s">
        <v>255</v>
      </c>
      <c r="S294" s="63" t="str">
        <f>IF(ISNA(VLOOKUP(Tabla1313[[#This Row],[Código Indra]],#REF!,1,FALSE)),"NO", "SI")</f>
        <v>SI</v>
      </c>
      <c r="T294" s="58"/>
      <c r="U294" t="s">
        <v>256</v>
      </c>
      <c r="V294" t="str">
        <f>VLOOKUP(Tabla1313[[#This Row],[Apoyo]],'LM SAP'!A:I,9,FALSE)</f>
        <v>RR</v>
      </c>
      <c r="W294" t="e">
        <f>VLOOKUP(Tabla1313[[#This Row],[Código Indra]],#REF!,1,FALSE)</f>
        <v>#REF!</v>
      </c>
    </row>
    <row r="295" spans="1:23" ht="30" x14ac:dyDescent="0.25">
      <c r="A295" s="64">
        <v>481</v>
      </c>
      <c r="B295" s="61" t="s">
        <v>1146</v>
      </c>
      <c r="C295" s="76" t="s">
        <v>1147</v>
      </c>
      <c r="D295" s="64" t="s">
        <v>1087</v>
      </c>
      <c r="E295" s="76" t="s">
        <v>1148</v>
      </c>
      <c r="F295" s="64">
        <v>1</v>
      </c>
      <c r="G295" s="61" t="s">
        <v>234</v>
      </c>
      <c r="H295" s="61" t="s">
        <v>480</v>
      </c>
      <c r="I295" s="64" t="s">
        <v>321</v>
      </c>
      <c r="J295" s="64"/>
      <c r="K295" s="213" t="s">
        <v>219</v>
      </c>
      <c r="L295" s="191">
        <v>60005201</v>
      </c>
      <c r="M295" s="192">
        <v>45622</v>
      </c>
      <c r="N295" s="192">
        <v>45631</v>
      </c>
      <c r="O295" s="102" t="s">
        <v>300</v>
      </c>
      <c r="P295" s="62" t="str">
        <f>IF(LEFT(B295,5)="09735",
    IF(ISNA(VLOOKUP(Tabla1313[[#This Row],[Apoyo]],'LM SAP'!A:G,1,FALSE)),
        "No Disponible",
        IF(VLOOKUP(Tabla1313[[#This Row],[Apoyo]],'LM SAP'!A:AD,9,FALSE)="RR",
            "Disponible",
            "Firmas SAP"
        )
    ),
    "CONSULTAR"
)</f>
        <v>No Disponible</v>
      </c>
      <c r="Q295" s="63" t="str">
        <f>MID(Tabla1313[[#This Row],[Código Indra]],1,13)</f>
        <v>0973545020104</v>
      </c>
      <c r="R295" t="s">
        <v>255</v>
      </c>
      <c r="S295" s="63" t="str">
        <f>IF(ISNA(VLOOKUP(Tabla1313[[#This Row],[Código Indra]],#REF!,1,FALSE)),"NO", "SI")</f>
        <v>SI</v>
      </c>
      <c r="T295" s="58"/>
      <c r="U295" t="s">
        <v>256</v>
      </c>
      <c r="V295" t="e">
        <f>VLOOKUP(Tabla1313[[#This Row],[Apoyo]],'LM SAP'!A:I,9,FALSE)</f>
        <v>#N/A</v>
      </c>
      <c r="W295" t="e">
        <f>VLOOKUP(Tabla1313[[#This Row],[Código Indra]],#REF!,1,FALSE)</f>
        <v>#REF!</v>
      </c>
    </row>
    <row r="296" spans="1:23" ht="30" x14ac:dyDescent="0.25">
      <c r="A296" s="64">
        <v>482</v>
      </c>
      <c r="B296" s="64" t="s">
        <v>1149</v>
      </c>
      <c r="C296" s="75" t="s">
        <v>1150</v>
      </c>
      <c r="D296" s="61" t="s">
        <v>1087</v>
      </c>
      <c r="E296" s="75" t="s">
        <v>1151</v>
      </c>
      <c r="F296" s="64">
        <v>1</v>
      </c>
      <c r="G296" s="61" t="s">
        <v>234</v>
      </c>
      <c r="H296" s="61" t="s">
        <v>480</v>
      </c>
      <c r="I296" s="61" t="s">
        <v>321</v>
      </c>
      <c r="J296" s="64"/>
      <c r="K296" s="213" t="s">
        <v>219</v>
      </c>
      <c r="L296" s="191">
        <v>60005202</v>
      </c>
      <c r="M296" s="192">
        <v>45622</v>
      </c>
      <c r="N296" s="192">
        <v>45631</v>
      </c>
      <c r="O296" s="102" t="s">
        <v>300</v>
      </c>
      <c r="P296" s="62" t="str">
        <f>IF(LEFT(B296,5)="09735",
    IF(ISNA(VLOOKUP(Tabla1313[[#This Row],[Apoyo]],'LM SAP'!A:G,1,FALSE)),
        "No Disponible",
        IF(VLOOKUP(Tabla1313[[#This Row],[Apoyo]],'LM SAP'!A:AD,9,FALSE)="RR",
            "Disponible",
            "Firmas SAP"
        )
    ),
    "CONSULTAR"
)</f>
        <v>No Disponible</v>
      </c>
      <c r="Q296" s="63" t="str">
        <f>MID(Tabla1313[[#This Row],[Código Indra]],1,13)</f>
        <v>0973545020105</v>
      </c>
      <c r="R296" t="s">
        <v>255</v>
      </c>
      <c r="S296" s="63" t="str">
        <f>IF(ISNA(VLOOKUP(Tabla1313[[#This Row],[Código Indra]],#REF!,1,FALSE)),"NO", "SI")</f>
        <v>SI</v>
      </c>
      <c r="T296" s="58"/>
      <c r="U296" t="s">
        <v>256</v>
      </c>
      <c r="V296" t="e">
        <f>VLOOKUP(Tabla1313[[#This Row],[Apoyo]],'LM SAP'!A:I,9,FALSE)</f>
        <v>#N/A</v>
      </c>
      <c r="W296" t="e">
        <f>VLOOKUP(Tabla1313[[#This Row],[Código Indra]],#REF!,1,FALSE)</f>
        <v>#REF!</v>
      </c>
    </row>
    <row r="297" spans="1:23" ht="30" x14ac:dyDescent="0.25">
      <c r="A297" s="64">
        <v>483</v>
      </c>
      <c r="B297" s="61" t="s">
        <v>1152</v>
      </c>
      <c r="C297" s="76" t="s">
        <v>1153</v>
      </c>
      <c r="D297" s="64" t="s">
        <v>1091</v>
      </c>
      <c r="E297" s="76" t="s">
        <v>1154</v>
      </c>
      <c r="F297" s="64">
        <v>1</v>
      </c>
      <c r="G297" s="61" t="s">
        <v>234</v>
      </c>
      <c r="H297" s="61" t="s">
        <v>480</v>
      </c>
      <c r="I297" s="64" t="s">
        <v>321</v>
      </c>
      <c r="J297" s="64"/>
      <c r="K297" s="213" t="s">
        <v>262</v>
      </c>
      <c r="L297" s="191">
        <v>60005203</v>
      </c>
      <c r="M297" s="192">
        <v>45622</v>
      </c>
      <c r="N297" s="192">
        <v>45631</v>
      </c>
      <c r="O297" s="102" t="s">
        <v>1155</v>
      </c>
      <c r="P297" s="62" t="str">
        <f>IF(LEFT(B297,5)="09735",
    IF(ISNA(VLOOKUP(Tabla1313[[#This Row],[Apoyo]],'LM SAP'!A:G,1,FALSE)),
        "No Disponible",
        IF(VLOOKUP(Tabla1313[[#This Row],[Apoyo]],'LM SAP'!A:AD,9,FALSE)="RR",
            "Disponible",
            "Firmas SAP"
        )
    ),
    "CONSULTAR"
)</f>
        <v>No Disponible</v>
      </c>
      <c r="Q297" s="63" t="str">
        <f>MID(Tabla1313[[#This Row],[Código Indra]],1,13)</f>
        <v>0973545020206</v>
      </c>
      <c r="R297" t="s">
        <v>255</v>
      </c>
      <c r="S297" s="63" t="str">
        <f>IF(ISNA(VLOOKUP(Tabla1313[[#This Row],[Código Indra]],#REF!,1,FALSE)),"NO", "SI")</f>
        <v>SI</v>
      </c>
      <c r="T297" s="58"/>
      <c r="U297" t="s">
        <v>256</v>
      </c>
      <c r="V297" t="e">
        <f>VLOOKUP(Tabla1313[[#This Row],[Apoyo]],'LM SAP'!A:I,9,FALSE)</f>
        <v>#N/A</v>
      </c>
      <c r="W297" t="e">
        <f>VLOOKUP(Tabla1313[[#This Row],[Código Indra]],#REF!,1,FALSE)</f>
        <v>#REF!</v>
      </c>
    </row>
    <row r="298" spans="1:23" ht="30" x14ac:dyDescent="0.25">
      <c r="A298" s="64">
        <v>484</v>
      </c>
      <c r="B298" s="64" t="s">
        <v>1156</v>
      </c>
      <c r="C298" s="75" t="s">
        <v>1157</v>
      </c>
      <c r="D298" s="61" t="s">
        <v>1087</v>
      </c>
      <c r="E298" s="75" t="s">
        <v>1158</v>
      </c>
      <c r="F298" s="64">
        <v>1</v>
      </c>
      <c r="G298" s="61" t="s">
        <v>234</v>
      </c>
      <c r="H298" s="61" t="s">
        <v>480</v>
      </c>
      <c r="I298" s="61" t="s">
        <v>321</v>
      </c>
      <c r="J298" s="64"/>
      <c r="K298" s="213" t="s">
        <v>219</v>
      </c>
      <c r="L298" s="191">
        <v>60005204</v>
      </c>
      <c r="M298" s="192">
        <v>45622</v>
      </c>
      <c r="N298" s="192">
        <v>45631</v>
      </c>
      <c r="O298" s="102" t="s">
        <v>300</v>
      </c>
      <c r="P298" s="62" t="str">
        <f>IF(LEFT(B298,5)="09735",
    IF(ISNA(VLOOKUP(Tabla1313[[#This Row],[Apoyo]],'LM SAP'!A:G,1,FALSE)),
        "No Disponible",
        IF(VLOOKUP(Tabla1313[[#This Row],[Apoyo]],'LM SAP'!A:AD,9,FALSE)="RR",
            "Disponible",
            "Firmas SAP"
        )
    ),
    "CONSULTAR"
)</f>
        <v>No Disponible</v>
      </c>
      <c r="Q298" s="63" t="str">
        <f>MID(Tabla1313[[#This Row],[Código Indra]],1,13)</f>
        <v>0973545020107</v>
      </c>
      <c r="R298" t="s">
        <v>255</v>
      </c>
      <c r="S298" s="63" t="str">
        <f>IF(ISNA(VLOOKUP(Tabla1313[[#This Row],[Código Indra]],#REF!,1,FALSE)),"NO", "SI")</f>
        <v>SI</v>
      </c>
      <c r="T298" s="58"/>
      <c r="U298" t="s">
        <v>256</v>
      </c>
      <c r="V298" t="e">
        <f>VLOOKUP(Tabla1313[[#This Row],[Apoyo]],'LM SAP'!A:I,9,FALSE)</f>
        <v>#N/A</v>
      </c>
      <c r="W298" t="e">
        <f>VLOOKUP(Tabla1313[[#This Row],[Código Indra]],#REF!,1,FALSE)</f>
        <v>#REF!</v>
      </c>
    </row>
    <row r="299" spans="1:23" ht="30" x14ac:dyDescent="0.25">
      <c r="A299" s="64">
        <v>485</v>
      </c>
      <c r="B299" s="61" t="s">
        <v>1159</v>
      </c>
      <c r="C299" s="76" t="s">
        <v>1160</v>
      </c>
      <c r="D299" s="64" t="s">
        <v>1091</v>
      </c>
      <c r="E299" s="76" t="s">
        <v>1161</v>
      </c>
      <c r="F299" s="64">
        <v>1</v>
      </c>
      <c r="G299" s="61" t="s">
        <v>234</v>
      </c>
      <c r="H299" s="61" t="s">
        <v>480</v>
      </c>
      <c r="I299" s="64" t="s">
        <v>321</v>
      </c>
      <c r="J299" s="64"/>
      <c r="K299" s="213" t="s">
        <v>262</v>
      </c>
      <c r="L299" s="191">
        <v>60005205</v>
      </c>
      <c r="M299" s="192">
        <v>45622</v>
      </c>
      <c r="N299" s="192">
        <v>45631</v>
      </c>
      <c r="O299" s="102" t="s">
        <v>1155</v>
      </c>
      <c r="P299" s="62" t="str">
        <f>IF(LEFT(B299,5)="09735",
    IF(ISNA(VLOOKUP(Tabla1313[[#This Row],[Apoyo]],'LM SAP'!A:G,1,FALSE)),
        "No Disponible",
        IF(VLOOKUP(Tabla1313[[#This Row],[Apoyo]],'LM SAP'!A:AD,9,FALSE)="RR",
            "Disponible",
            "Firmas SAP"
        )
    ),
    "CONSULTAR"
)</f>
        <v>No Disponible</v>
      </c>
      <c r="Q299" s="63" t="str">
        <f>MID(Tabla1313[[#This Row],[Código Indra]],1,13)</f>
        <v>0973545020208</v>
      </c>
      <c r="R299" t="s">
        <v>255</v>
      </c>
      <c r="S299" s="63" t="str">
        <f>IF(ISNA(VLOOKUP(Tabla1313[[#This Row],[Código Indra]],#REF!,1,FALSE)),"NO", "SI")</f>
        <v>SI</v>
      </c>
      <c r="T299" s="58"/>
      <c r="U299" t="s">
        <v>256</v>
      </c>
      <c r="V299" t="e">
        <f>VLOOKUP(Tabla1313[[#This Row],[Apoyo]],'LM SAP'!A:I,9,FALSE)</f>
        <v>#N/A</v>
      </c>
      <c r="W299" t="e">
        <f>VLOOKUP(Tabla1313[[#This Row],[Código Indra]],#REF!,1,FALSE)</f>
        <v>#REF!</v>
      </c>
    </row>
    <row r="300" spans="1:23" ht="30" x14ac:dyDescent="0.25">
      <c r="A300" s="64">
        <v>486</v>
      </c>
      <c r="B300" s="64" t="s">
        <v>1162</v>
      </c>
      <c r="C300" s="75" t="s">
        <v>1163</v>
      </c>
      <c r="D300" s="61" t="s">
        <v>1091</v>
      </c>
      <c r="E300" s="75" t="s">
        <v>1164</v>
      </c>
      <c r="F300" s="64">
        <v>1</v>
      </c>
      <c r="G300" s="61" t="s">
        <v>234</v>
      </c>
      <c r="H300" s="61" t="s">
        <v>480</v>
      </c>
      <c r="I300" s="61" t="s">
        <v>321</v>
      </c>
      <c r="J300" s="64"/>
      <c r="K300" s="213" t="s">
        <v>262</v>
      </c>
      <c r="L300" s="191">
        <v>60005206</v>
      </c>
      <c r="M300" s="192">
        <v>45622</v>
      </c>
      <c r="N300" s="192">
        <v>45631</v>
      </c>
      <c r="O300" s="102" t="s">
        <v>1155</v>
      </c>
      <c r="P300" s="62" t="str">
        <f>IF(LEFT(B300,5)="09735",
    IF(ISNA(VLOOKUP(Tabla1313[[#This Row],[Apoyo]],'LM SAP'!A:G,1,FALSE)),
        "No Disponible",
        IF(VLOOKUP(Tabla1313[[#This Row],[Apoyo]],'LM SAP'!A:AD,9,FALSE)="RR",
            "Disponible",
            "Firmas SAP"
        )
    ),
    "CONSULTAR"
)</f>
        <v>No Disponible</v>
      </c>
      <c r="Q300" s="63" t="str">
        <f>MID(Tabla1313[[#This Row],[Código Indra]],1,13)</f>
        <v>0973545020209</v>
      </c>
      <c r="R300" t="s">
        <v>255</v>
      </c>
      <c r="S300" s="63" t="str">
        <f>IF(ISNA(VLOOKUP(Tabla1313[[#This Row],[Código Indra]],#REF!,1,FALSE)),"NO", "SI")</f>
        <v>SI</v>
      </c>
      <c r="T300" s="58"/>
      <c r="U300" t="s">
        <v>256</v>
      </c>
      <c r="V300" t="e">
        <f>VLOOKUP(Tabla1313[[#This Row],[Apoyo]],'LM SAP'!A:I,9,FALSE)</f>
        <v>#N/A</v>
      </c>
      <c r="W300" t="e">
        <f>VLOOKUP(Tabla1313[[#This Row],[Código Indra]],#REF!,1,FALSE)</f>
        <v>#REF!</v>
      </c>
    </row>
    <row r="301" spans="1:23" ht="53.25" customHeight="1" x14ac:dyDescent="0.25">
      <c r="A301" s="64">
        <v>487</v>
      </c>
      <c r="B301" s="61" t="s">
        <v>1165</v>
      </c>
      <c r="C301" s="76" t="s">
        <v>1166</v>
      </c>
      <c r="D301" s="64" t="s">
        <v>1095</v>
      </c>
      <c r="E301" s="76" t="s">
        <v>1167</v>
      </c>
      <c r="F301" s="64">
        <v>1</v>
      </c>
      <c r="G301" s="61" t="s">
        <v>234</v>
      </c>
      <c r="H301" s="61" t="s">
        <v>480</v>
      </c>
      <c r="I301" s="64" t="s">
        <v>321</v>
      </c>
      <c r="J301" s="64"/>
      <c r="K301" s="213" t="s">
        <v>217</v>
      </c>
      <c r="L301" s="191">
        <v>60005082</v>
      </c>
      <c r="M301" s="192">
        <v>45616</v>
      </c>
      <c r="N301" s="192">
        <v>45631</v>
      </c>
      <c r="O301" s="242" t="s">
        <v>711</v>
      </c>
      <c r="P301" s="62" t="str">
        <f>IF(LEFT(B301,5)="09735",
    IF(ISNA(VLOOKUP(Tabla1313[[#This Row],[Apoyo]],'LM SAP'!A:G,1,FALSE)),
        "No Disponible",
        IF(VLOOKUP(Tabla1313[[#This Row],[Apoyo]],'LM SAP'!A:AD,9,FALSE)="RR",
            "Disponible",
            "Firmas SAP"
        )
    ),
    "CONSULTAR"
)</f>
        <v>Disponible</v>
      </c>
      <c r="Q301" s="63" t="str">
        <f>MID(Tabla1313[[#This Row],[Código Indra]],1,13)</f>
        <v>0973545020300</v>
      </c>
      <c r="R301" t="s">
        <v>255</v>
      </c>
      <c r="S301" s="63" t="str">
        <f>IF(ISNA(VLOOKUP(Tabla1313[[#This Row],[Código Indra]],#REF!,1,FALSE)),"NO", "SI")</f>
        <v>SI</v>
      </c>
      <c r="T301" s="58"/>
      <c r="U301" t="s">
        <v>256</v>
      </c>
      <c r="V301" t="str">
        <f>VLOOKUP(Tabla1313[[#This Row],[Apoyo]],'LM SAP'!A:I,9,FALSE)</f>
        <v>RR</v>
      </c>
      <c r="W301" t="e">
        <f>VLOOKUP(Tabla1313[[#This Row],[Código Indra]],#REF!,1,FALSE)</f>
        <v>#REF!</v>
      </c>
    </row>
    <row r="302" spans="1:23" ht="84" x14ac:dyDescent="0.25">
      <c r="A302" s="64">
        <v>488</v>
      </c>
      <c r="B302" s="64" t="s">
        <v>1168</v>
      </c>
      <c r="C302" s="75" t="s">
        <v>1169</v>
      </c>
      <c r="D302" s="61" t="s">
        <v>1099</v>
      </c>
      <c r="E302" s="75" t="s">
        <v>1170</v>
      </c>
      <c r="F302" s="64">
        <v>1</v>
      </c>
      <c r="G302" s="61" t="s">
        <v>234</v>
      </c>
      <c r="H302" s="61" t="s">
        <v>480</v>
      </c>
      <c r="I302" s="61" t="s">
        <v>321</v>
      </c>
      <c r="J302" s="64"/>
      <c r="K302" s="213" t="s">
        <v>219</v>
      </c>
      <c r="L302" s="191">
        <v>60005083</v>
      </c>
      <c r="M302" s="192">
        <v>45616</v>
      </c>
      <c r="N302" s="192">
        <v>45625</v>
      </c>
      <c r="O302" s="146" t="s">
        <v>1171</v>
      </c>
      <c r="P302" s="62" t="str">
        <f>IF(LEFT(B302,5)="09735",
    IF(ISNA(VLOOKUP(Tabla1313[[#This Row],[Apoyo]],'LM SAP'!A:G,1,FALSE)),
        "No Disponible",
        IF(VLOOKUP(Tabla1313[[#This Row],[Apoyo]],'LM SAP'!A:AD,9,FALSE)="RR",
            "Disponible",
            "Firmas SAP"
        )
    ),
    "CONSULTAR"
)</f>
        <v>No Disponible</v>
      </c>
      <c r="Q302" s="63" t="str">
        <f>MID(Tabla1313[[#This Row],[Código Indra]],1,13)</f>
        <v>0973545020413</v>
      </c>
      <c r="R302" t="s">
        <v>255</v>
      </c>
      <c r="S302" s="63" t="str">
        <f>IF(ISNA(VLOOKUP(Tabla1313[[#This Row],[Código Indra]],#REF!,1,FALSE)),"NO", "SI")</f>
        <v>SI</v>
      </c>
      <c r="T302" s="58"/>
      <c r="U302" t="s">
        <v>256</v>
      </c>
      <c r="V302" t="e">
        <f>VLOOKUP(Tabla1313[[#This Row],[Apoyo]],'LM SAP'!A:I,9,FALSE)</f>
        <v>#N/A</v>
      </c>
      <c r="W302" t="e">
        <f>VLOOKUP(Tabla1313[[#This Row],[Código Indra]],#REF!,1,FALSE)</f>
        <v>#REF!</v>
      </c>
    </row>
    <row r="303" spans="1:23" ht="84" x14ac:dyDescent="0.25">
      <c r="A303" s="64">
        <v>489</v>
      </c>
      <c r="B303" s="61" t="s">
        <v>1172</v>
      </c>
      <c r="C303" s="76" t="s">
        <v>1173</v>
      </c>
      <c r="D303" s="64" t="s">
        <v>1099</v>
      </c>
      <c r="E303" s="76" t="s">
        <v>1174</v>
      </c>
      <c r="F303" s="64">
        <v>1</v>
      </c>
      <c r="G303" s="61" t="s">
        <v>234</v>
      </c>
      <c r="H303" s="61" t="s">
        <v>480</v>
      </c>
      <c r="I303" s="64" t="s">
        <v>321</v>
      </c>
      <c r="J303" s="64"/>
      <c r="K303" s="213" t="s">
        <v>219</v>
      </c>
      <c r="L303" s="191">
        <v>60005207</v>
      </c>
      <c r="M303" s="192">
        <v>45622</v>
      </c>
      <c r="N303" s="192">
        <v>45624</v>
      </c>
      <c r="O303" s="146" t="s">
        <v>1171</v>
      </c>
      <c r="P303" s="62" t="str">
        <f>IF(LEFT(B303,5)="09735",
    IF(ISNA(VLOOKUP(Tabla1313[[#This Row],[Apoyo]],'LM SAP'!A:G,1,FALSE)),
        "No Disponible",
        IF(VLOOKUP(Tabla1313[[#This Row],[Apoyo]],'LM SAP'!A:AD,9,FALSE)="RR",
            "Disponible",
            "Firmas SAP"
        )
    ),
    "CONSULTAR"
)</f>
        <v>No Disponible</v>
      </c>
      <c r="Q303" s="63" t="str">
        <f>MID(Tabla1313[[#This Row],[Código Indra]],1,13)</f>
        <v>0973545020414</v>
      </c>
      <c r="R303" t="s">
        <v>255</v>
      </c>
      <c r="S303" s="63" t="str">
        <f>IF(ISNA(VLOOKUP(Tabla1313[[#This Row],[Código Indra]],#REF!,1,FALSE)),"NO", "SI")</f>
        <v>SI</v>
      </c>
      <c r="T303" s="58"/>
      <c r="U303" t="s">
        <v>256</v>
      </c>
      <c r="V303" t="e">
        <f>VLOOKUP(Tabla1313[[#This Row],[Apoyo]],'LM SAP'!A:I,9,FALSE)</f>
        <v>#N/A</v>
      </c>
      <c r="W303" t="e">
        <f>VLOOKUP(Tabla1313[[#This Row],[Código Indra]],#REF!,1,FALSE)</f>
        <v>#REF!</v>
      </c>
    </row>
    <row r="304" spans="1:23" ht="84" x14ac:dyDescent="0.25">
      <c r="A304" s="64">
        <v>490</v>
      </c>
      <c r="B304" s="64" t="s">
        <v>1175</v>
      </c>
      <c r="C304" s="75" t="s">
        <v>1176</v>
      </c>
      <c r="D304" s="61" t="s">
        <v>1099</v>
      </c>
      <c r="E304" s="75" t="s">
        <v>1177</v>
      </c>
      <c r="F304" s="64">
        <v>1</v>
      </c>
      <c r="G304" s="61" t="s">
        <v>234</v>
      </c>
      <c r="H304" s="61" t="s">
        <v>480</v>
      </c>
      <c r="I304" s="61" t="s">
        <v>321</v>
      </c>
      <c r="J304" s="64"/>
      <c r="K304" s="213" t="s">
        <v>219</v>
      </c>
      <c r="L304" s="191">
        <v>60005208</v>
      </c>
      <c r="M304" s="192">
        <v>45622</v>
      </c>
      <c r="N304" s="192">
        <v>45624</v>
      </c>
      <c r="O304" s="146" t="s">
        <v>1171</v>
      </c>
      <c r="P304" s="62" t="str">
        <f>IF(LEFT(B304,5)="09735",
    IF(ISNA(VLOOKUP(Tabla1313[[#This Row],[Apoyo]],'LM SAP'!A:G,1,FALSE)),
        "No Disponible",
        IF(VLOOKUP(Tabla1313[[#This Row],[Apoyo]],'LM SAP'!A:AD,9,FALSE)="RR",
            "Disponible",
            "Firmas SAP"
        )
    ),
    "CONSULTAR"
)</f>
        <v>No Disponible</v>
      </c>
      <c r="Q304" s="63" t="str">
        <f>MID(Tabla1313[[#This Row],[Código Indra]],1,13)</f>
        <v>0973545020415</v>
      </c>
      <c r="R304" t="s">
        <v>255</v>
      </c>
      <c r="S304" s="63" t="str">
        <f>IF(ISNA(VLOOKUP(Tabla1313[[#This Row],[Código Indra]],#REF!,1,FALSE)),"NO", "SI")</f>
        <v>SI</v>
      </c>
      <c r="T304" s="58"/>
      <c r="U304" t="s">
        <v>256</v>
      </c>
      <c r="V304" t="e">
        <f>VLOOKUP(Tabla1313[[#This Row],[Apoyo]],'LM SAP'!A:I,9,FALSE)</f>
        <v>#N/A</v>
      </c>
      <c r="W304" t="e">
        <f>VLOOKUP(Tabla1313[[#This Row],[Código Indra]],#REF!,1,FALSE)</f>
        <v>#REF!</v>
      </c>
    </row>
    <row r="305" spans="1:23" ht="84" x14ac:dyDescent="0.25">
      <c r="A305" s="64">
        <v>491</v>
      </c>
      <c r="B305" s="61" t="s">
        <v>1178</v>
      </c>
      <c r="C305" s="76" t="s">
        <v>1179</v>
      </c>
      <c r="D305" s="64" t="s">
        <v>1099</v>
      </c>
      <c r="E305" s="76" t="s">
        <v>1180</v>
      </c>
      <c r="F305" s="64">
        <v>1</v>
      </c>
      <c r="G305" s="61" t="s">
        <v>234</v>
      </c>
      <c r="H305" s="61" t="s">
        <v>480</v>
      </c>
      <c r="I305" s="64" t="s">
        <v>321</v>
      </c>
      <c r="J305" s="64"/>
      <c r="K305" s="213" t="s">
        <v>219</v>
      </c>
      <c r="L305" s="191">
        <v>60005209</v>
      </c>
      <c r="M305" s="192">
        <v>45622</v>
      </c>
      <c r="N305" s="192">
        <v>45624</v>
      </c>
      <c r="O305" s="146" t="s">
        <v>1171</v>
      </c>
      <c r="P305" s="62" t="str">
        <f>IF(LEFT(B305,5)="09735",
    IF(ISNA(VLOOKUP(Tabla1313[[#This Row],[Apoyo]],'LM SAP'!A:G,1,FALSE)),
        "No Disponible",
        IF(VLOOKUP(Tabla1313[[#This Row],[Apoyo]],'LM SAP'!A:AD,9,FALSE)="RR",
            "Disponible",
            "Firmas SAP"
        )
    ),
    "CONSULTAR"
)</f>
        <v>No Disponible</v>
      </c>
      <c r="Q305" s="63" t="str">
        <f>MID(Tabla1313[[#This Row],[Código Indra]],1,13)</f>
        <v>0973545020417</v>
      </c>
      <c r="R305" t="s">
        <v>255</v>
      </c>
      <c r="S305" s="63" t="str">
        <f>IF(ISNA(VLOOKUP(Tabla1313[[#This Row],[Código Indra]],#REF!,1,FALSE)),"NO", "SI")</f>
        <v>SI</v>
      </c>
      <c r="T305" s="58"/>
      <c r="U305" t="s">
        <v>256</v>
      </c>
      <c r="V305" t="e">
        <f>VLOOKUP(Tabla1313[[#This Row],[Apoyo]],'LM SAP'!A:I,9,FALSE)</f>
        <v>#N/A</v>
      </c>
      <c r="W305" t="e">
        <f>VLOOKUP(Tabla1313[[#This Row],[Código Indra]],#REF!,1,FALSE)</f>
        <v>#REF!</v>
      </c>
    </row>
    <row r="306" spans="1:23" ht="56.25" customHeight="1" x14ac:dyDescent="0.25">
      <c r="A306" s="64">
        <v>492</v>
      </c>
      <c r="B306" s="64" t="s">
        <v>1181</v>
      </c>
      <c r="C306" s="75" t="s">
        <v>1182</v>
      </c>
      <c r="D306" s="61" t="s">
        <v>1087</v>
      </c>
      <c r="E306" s="75" t="s">
        <v>1183</v>
      </c>
      <c r="F306" s="64">
        <v>1</v>
      </c>
      <c r="G306" s="61" t="s">
        <v>234</v>
      </c>
      <c r="H306" s="61" t="s">
        <v>480</v>
      </c>
      <c r="I306" s="61" t="s">
        <v>321</v>
      </c>
      <c r="J306" s="64"/>
      <c r="K306" s="213" t="s">
        <v>262</v>
      </c>
      <c r="L306" s="191">
        <v>60005210</v>
      </c>
      <c r="M306" s="192">
        <v>45622</v>
      </c>
      <c r="N306" s="192">
        <v>45631</v>
      </c>
      <c r="O306" s="102" t="s">
        <v>1184</v>
      </c>
      <c r="P306" s="62" t="str">
        <f>IF(LEFT(B306,5)="09735",
    IF(ISNA(VLOOKUP(Tabla1313[[#This Row],[Apoyo]],'LM SAP'!A:G,1,FALSE)),
        "No Disponible",
        IF(VLOOKUP(Tabla1313[[#This Row],[Apoyo]],'LM SAP'!A:AD,9,FALSE)="RR",
            "Disponible",
            "Firmas SAP"
        )
    ),
    "CONSULTAR"
)</f>
        <v>No Disponible</v>
      </c>
      <c r="Q306" s="63" t="str">
        <f>MID(Tabla1313[[#This Row],[Código Indra]],1,13)</f>
        <v>0973545020118</v>
      </c>
      <c r="R306" t="s">
        <v>255</v>
      </c>
      <c r="S306" s="63" t="str">
        <f>IF(ISNA(VLOOKUP(Tabla1313[[#This Row],[Código Indra]],#REF!,1,FALSE)),"NO", "SI")</f>
        <v>SI</v>
      </c>
      <c r="T306" s="58"/>
      <c r="U306" t="s">
        <v>256</v>
      </c>
      <c r="V306" t="e">
        <f>VLOOKUP(Tabla1313[[#This Row],[Apoyo]],'LM SAP'!A:I,9,FALSE)</f>
        <v>#N/A</v>
      </c>
      <c r="W306" t="e">
        <f>VLOOKUP(Tabla1313[[#This Row],[Código Indra]],#REF!,1,FALSE)</f>
        <v>#REF!</v>
      </c>
    </row>
    <row r="307" spans="1:23" ht="30" x14ac:dyDescent="0.25">
      <c r="A307" s="64">
        <v>493</v>
      </c>
      <c r="B307" s="61" t="s">
        <v>1185</v>
      </c>
      <c r="C307" s="76" t="s">
        <v>1186</v>
      </c>
      <c r="D307" s="64" t="s">
        <v>1103</v>
      </c>
      <c r="E307" s="76" t="s">
        <v>1187</v>
      </c>
      <c r="F307" s="64">
        <v>1</v>
      </c>
      <c r="G307" s="61" t="s">
        <v>234</v>
      </c>
      <c r="H307" s="61" t="s">
        <v>480</v>
      </c>
      <c r="I307" s="64" t="s">
        <v>321</v>
      </c>
      <c r="J307" s="64"/>
      <c r="K307" s="213" t="s">
        <v>221</v>
      </c>
      <c r="L307" s="191">
        <v>60005250</v>
      </c>
      <c r="M307" s="192">
        <v>45624</v>
      </c>
      <c r="N307" s="192">
        <v>45630</v>
      </c>
      <c r="O307" s="149" t="s">
        <v>281</v>
      </c>
      <c r="P307" s="62" t="str">
        <f>IF(LEFT(B307,5)="09735",
    IF(ISNA(VLOOKUP(Tabla1313[[#This Row],[Apoyo]],'LM SAP'!A:G,1,FALSE)),
        "No Disponible",
        IF(VLOOKUP(Tabla1313[[#This Row],[Apoyo]],'LM SAP'!A:AD,9,FALSE)="RR",
            "Disponible",
            "Firmas SAP"
        )
    ),
    "CONSULTAR"
)</f>
        <v>No Disponible</v>
      </c>
      <c r="Q307" s="63" t="str">
        <f>MID(Tabla1313[[#This Row],[Código Indra]],1,13)</f>
        <v>0973545020520</v>
      </c>
      <c r="R307" t="s">
        <v>255</v>
      </c>
      <c r="S307" s="63" t="str">
        <f>IF(ISNA(VLOOKUP(Tabla1313[[#This Row],[Código Indra]],#REF!,1,FALSE)),"NO", "SI")</f>
        <v>SI</v>
      </c>
      <c r="T307" s="58"/>
      <c r="U307" t="s">
        <v>256</v>
      </c>
      <c r="V307" t="e">
        <f>VLOOKUP(Tabla1313[[#This Row],[Apoyo]],'LM SAP'!A:I,9,FALSE)</f>
        <v>#N/A</v>
      </c>
      <c r="W307" t="e">
        <f>VLOOKUP(Tabla1313[[#This Row],[Código Indra]],#REF!,1,FALSE)</f>
        <v>#REF!</v>
      </c>
    </row>
    <row r="308" spans="1:23" ht="84" x14ac:dyDescent="0.25">
      <c r="A308" s="64">
        <v>494</v>
      </c>
      <c r="B308" s="64" t="s">
        <v>1188</v>
      </c>
      <c r="C308" s="75" t="s">
        <v>1189</v>
      </c>
      <c r="D308" s="61" t="s">
        <v>1099</v>
      </c>
      <c r="E308" s="75" t="s">
        <v>1190</v>
      </c>
      <c r="F308" s="64">
        <v>1</v>
      </c>
      <c r="G308" s="61" t="s">
        <v>234</v>
      </c>
      <c r="H308" s="61" t="s">
        <v>480</v>
      </c>
      <c r="I308" s="61" t="s">
        <v>321</v>
      </c>
      <c r="J308" s="64"/>
      <c r="K308" s="213" t="s">
        <v>219</v>
      </c>
      <c r="L308" s="191">
        <v>60005211</v>
      </c>
      <c r="M308" s="192">
        <v>45622</v>
      </c>
      <c r="N308" s="192">
        <v>45624</v>
      </c>
      <c r="O308" s="146" t="s">
        <v>1171</v>
      </c>
      <c r="P308" s="62" t="str">
        <f>IF(LEFT(B308,5)="09735",
    IF(ISNA(VLOOKUP(Tabla1313[[#This Row],[Apoyo]],'LM SAP'!A:G,1,FALSE)),
        "No Disponible",
        IF(VLOOKUP(Tabla1313[[#This Row],[Apoyo]],'LM SAP'!A:AD,9,FALSE)="RR",
            "Disponible",
            "Firmas SAP"
        )
    ),
    "CONSULTAR"
)</f>
        <v>No Disponible</v>
      </c>
      <c r="Q308" s="63" t="str">
        <f>MID(Tabla1313[[#This Row],[Código Indra]],1,13)</f>
        <v>0973545020423</v>
      </c>
      <c r="R308" t="s">
        <v>255</v>
      </c>
      <c r="S308" s="63" t="str">
        <f>IF(ISNA(VLOOKUP(Tabla1313[[#This Row],[Código Indra]],#REF!,1,FALSE)),"NO", "SI")</f>
        <v>SI</v>
      </c>
      <c r="T308" s="58"/>
      <c r="U308" t="s">
        <v>256</v>
      </c>
      <c r="V308" t="e">
        <f>VLOOKUP(Tabla1313[[#This Row],[Apoyo]],'LM SAP'!A:I,9,FALSE)</f>
        <v>#N/A</v>
      </c>
      <c r="W308" t="e">
        <f>VLOOKUP(Tabla1313[[#This Row],[Código Indra]],#REF!,1,FALSE)</f>
        <v>#REF!</v>
      </c>
    </row>
    <row r="309" spans="1:23" ht="84" x14ac:dyDescent="0.25">
      <c r="A309" s="64">
        <v>495</v>
      </c>
      <c r="B309" s="61" t="s">
        <v>1191</v>
      </c>
      <c r="C309" s="76" t="s">
        <v>1192</v>
      </c>
      <c r="D309" s="64" t="s">
        <v>1099</v>
      </c>
      <c r="E309" s="76" t="s">
        <v>1193</v>
      </c>
      <c r="F309" s="64">
        <v>1</v>
      </c>
      <c r="G309" s="61" t="s">
        <v>234</v>
      </c>
      <c r="H309" s="61" t="s">
        <v>480</v>
      </c>
      <c r="I309" s="64" t="s">
        <v>321</v>
      </c>
      <c r="J309" s="64"/>
      <c r="K309" s="213" t="s">
        <v>219</v>
      </c>
      <c r="L309" s="191">
        <v>60005212</v>
      </c>
      <c r="M309" s="192">
        <v>45622</v>
      </c>
      <c r="N309" s="192">
        <v>45624</v>
      </c>
      <c r="O309" s="146" t="s">
        <v>1171</v>
      </c>
      <c r="P309" s="62" t="str">
        <f>IF(LEFT(B309,5)="09735",
    IF(ISNA(VLOOKUP(Tabla1313[[#This Row],[Apoyo]],'LM SAP'!A:G,1,FALSE)),
        "No Disponible",
        IF(VLOOKUP(Tabla1313[[#This Row],[Apoyo]],'LM SAP'!A:AD,9,FALSE)="RR",
            "Disponible",
            "Firmas SAP"
        )
    ),
    "CONSULTAR"
)</f>
        <v>No Disponible</v>
      </c>
      <c r="Q309" s="63" t="str">
        <f>MID(Tabla1313[[#This Row],[Código Indra]],1,13)</f>
        <v>0973545020424</v>
      </c>
      <c r="R309" t="s">
        <v>255</v>
      </c>
      <c r="S309" s="63" t="str">
        <f>IF(ISNA(VLOOKUP(Tabla1313[[#This Row],[Código Indra]],#REF!,1,FALSE)),"NO", "SI")</f>
        <v>SI</v>
      </c>
      <c r="T309" s="58"/>
      <c r="U309" t="s">
        <v>256</v>
      </c>
      <c r="V309" t="e">
        <f>VLOOKUP(Tabla1313[[#This Row],[Apoyo]],'LM SAP'!A:I,9,FALSE)</f>
        <v>#N/A</v>
      </c>
      <c r="W309" t="e">
        <f>VLOOKUP(Tabla1313[[#This Row],[Código Indra]],#REF!,1,FALSE)</f>
        <v>#REF!</v>
      </c>
    </row>
    <row r="310" spans="1:23" ht="84" x14ac:dyDescent="0.25">
      <c r="A310" s="64">
        <v>496</v>
      </c>
      <c r="B310" s="64" t="s">
        <v>1194</v>
      </c>
      <c r="C310" s="75" t="s">
        <v>1195</v>
      </c>
      <c r="D310" s="61" t="s">
        <v>1099</v>
      </c>
      <c r="E310" s="75" t="s">
        <v>1196</v>
      </c>
      <c r="F310" s="64">
        <v>1</v>
      </c>
      <c r="G310" s="61" t="s">
        <v>234</v>
      </c>
      <c r="H310" s="61" t="s">
        <v>480</v>
      </c>
      <c r="I310" s="61" t="s">
        <v>321</v>
      </c>
      <c r="J310" s="64"/>
      <c r="K310" s="213" t="s">
        <v>219</v>
      </c>
      <c r="L310" s="191">
        <v>60005213</v>
      </c>
      <c r="M310" s="192">
        <v>45622</v>
      </c>
      <c r="N310" s="192">
        <v>45624</v>
      </c>
      <c r="O310" s="146" t="s">
        <v>1171</v>
      </c>
      <c r="P310" s="103" t="str">
        <f>IF(LEFT(B310,5)="09735",
    IF(ISNA(VLOOKUP(Tabla1313[[#This Row],[Apoyo]],'LM SAP'!A:G,1,FALSE)),
        "No Disponible",
        IF(VLOOKUP(Tabla1313[[#This Row],[Apoyo]],'LM SAP'!A:AD,9,FALSE)="RR",
            "Disponible",
            "Firmas SAP"
        )
    ),
    "CONSULTAR"
)</f>
        <v>No Disponible</v>
      </c>
      <c r="Q310" s="63" t="str">
        <f>MID(Tabla1313[[#This Row],[Código Indra]],1,13)</f>
        <v>0973545020425</v>
      </c>
      <c r="R310" t="s">
        <v>255</v>
      </c>
      <c r="S310" s="65" t="str">
        <f>IF(ISNA(VLOOKUP(Tabla1313[[#This Row],[Código Indra]],#REF!,1,FALSE)),"NO", "SI")</f>
        <v>SI</v>
      </c>
      <c r="T310" s="92"/>
      <c r="U310" t="s">
        <v>256</v>
      </c>
      <c r="V310" t="e">
        <f>VLOOKUP(Tabla1313[[#This Row],[Apoyo]],'LM SAP'!A:I,9,FALSE)</f>
        <v>#N/A</v>
      </c>
      <c r="W310" t="e">
        <f>VLOOKUP(Tabla1313[[#This Row],[Código Indra]],#REF!,1,FALSE)</f>
        <v>#REF!</v>
      </c>
    </row>
    <row r="311" spans="1:23" ht="84" x14ac:dyDescent="0.25">
      <c r="A311" s="64">
        <v>497</v>
      </c>
      <c r="B311" s="61" t="s">
        <v>1197</v>
      </c>
      <c r="C311" s="76" t="s">
        <v>1198</v>
      </c>
      <c r="D311" s="64" t="s">
        <v>1099</v>
      </c>
      <c r="E311" s="76" t="s">
        <v>1199</v>
      </c>
      <c r="F311" s="64">
        <v>1</v>
      </c>
      <c r="G311" s="61" t="s">
        <v>234</v>
      </c>
      <c r="H311" s="61" t="s">
        <v>480</v>
      </c>
      <c r="I311" s="64" t="s">
        <v>321</v>
      </c>
      <c r="J311" s="64"/>
      <c r="K311" s="213" t="s">
        <v>219</v>
      </c>
      <c r="L311" s="191">
        <v>60005214</v>
      </c>
      <c r="M311" s="192">
        <v>45622</v>
      </c>
      <c r="N311" s="192">
        <v>45624</v>
      </c>
      <c r="O311" s="146" t="s">
        <v>1171</v>
      </c>
      <c r="P311" s="62" t="str">
        <f>IF(LEFT(B311,5)="09735",
    IF(ISNA(VLOOKUP(Tabla1313[[#This Row],[Apoyo]],'LM SAP'!A:G,1,FALSE)),
        "No Disponible",
        IF(VLOOKUP(Tabla1313[[#This Row],[Apoyo]],'LM SAP'!A:AD,9,FALSE)="RR",
            "Disponible",
            "Firmas SAP"
        )
    ),
    "CONSULTAR"
)</f>
        <v>No Disponible</v>
      </c>
      <c r="Q311" s="63" t="str">
        <f>MID(Tabla1313[[#This Row],[Código Indra]],1,13)</f>
        <v>0973545020427</v>
      </c>
      <c r="R311" t="s">
        <v>255</v>
      </c>
      <c r="S311" s="63" t="str">
        <f>IF(ISNA(VLOOKUP(Tabla1313[[#This Row],[Código Indra]],#REF!,1,FALSE)),"NO", "SI")</f>
        <v>SI</v>
      </c>
      <c r="T311" s="58"/>
      <c r="U311" t="s">
        <v>256</v>
      </c>
      <c r="V311" t="e">
        <f>VLOOKUP(Tabla1313[[#This Row],[Apoyo]],'LM SAP'!A:I,9,FALSE)</f>
        <v>#N/A</v>
      </c>
      <c r="W311" t="e">
        <f>VLOOKUP(Tabla1313[[#This Row],[Código Indra]],#REF!,1,FALSE)</f>
        <v>#REF!</v>
      </c>
    </row>
    <row r="312" spans="1:23" ht="30" x14ac:dyDescent="0.25">
      <c r="A312" s="64">
        <v>498</v>
      </c>
      <c r="B312" s="64" t="s">
        <v>1200</v>
      </c>
      <c r="C312" s="75" t="s">
        <v>1201</v>
      </c>
      <c r="D312" s="64"/>
      <c r="E312" s="75" t="s">
        <v>1202</v>
      </c>
      <c r="F312" s="64">
        <v>1</v>
      </c>
      <c r="G312" s="61" t="s">
        <v>234</v>
      </c>
      <c r="H312" s="61" t="s">
        <v>480</v>
      </c>
      <c r="I312" s="61" t="s">
        <v>276</v>
      </c>
      <c r="J312" s="64"/>
      <c r="K312" s="213" t="s">
        <v>219</v>
      </c>
      <c r="L312" s="191">
        <v>60005084</v>
      </c>
      <c r="M312" s="192">
        <v>45616</v>
      </c>
      <c r="N312" s="192">
        <v>45628</v>
      </c>
      <c r="O312" s="146" t="s">
        <v>281</v>
      </c>
      <c r="P312" s="62" t="str">
        <f>IF(LEFT(B312,5)="09735",
    IF(ISNA(VLOOKUP(Tabla1313[[#This Row],[Apoyo]],'LM SAP'!A:G,1,FALSE)),
        "No Disponible",
        IF(VLOOKUP(Tabla1313[[#This Row],[Apoyo]],'LM SAP'!A:AD,9,FALSE)="RR",
            "Disponible",
            "Firmas SAP"
        )
    ),
    "CONSULTAR"
)</f>
        <v>No Disponible</v>
      </c>
      <c r="Q312" s="63" t="str">
        <f>MID(Tabla1313[[#This Row],[Código Indra]],1,13)</f>
        <v>0973545092900</v>
      </c>
      <c r="R312" t="s">
        <v>255</v>
      </c>
      <c r="S312" s="63" t="str">
        <f>IF(ISNA(VLOOKUP(Tabla1313[[#This Row],[Código Indra]],#REF!,1,FALSE)),"NO", "SI")</f>
        <v>SI</v>
      </c>
      <c r="T312" s="58"/>
      <c r="U312" t="s">
        <v>256</v>
      </c>
      <c r="V312" t="e">
        <f>VLOOKUP(Tabla1313[[#This Row],[Apoyo]],'LM SAP'!A:I,9,FALSE)</f>
        <v>#N/A</v>
      </c>
      <c r="W312" t="e">
        <f>VLOOKUP(Tabla1313[[#This Row],[Código Indra]],#REF!,1,FALSE)</f>
        <v>#REF!</v>
      </c>
    </row>
    <row r="313" spans="1:23" ht="30" x14ac:dyDescent="0.25">
      <c r="A313" s="64">
        <v>499</v>
      </c>
      <c r="B313" s="61" t="s">
        <v>1203</v>
      </c>
      <c r="C313" s="76" t="s">
        <v>1204</v>
      </c>
      <c r="D313" s="64" t="s">
        <v>1103</v>
      </c>
      <c r="E313" s="76" t="s">
        <v>1205</v>
      </c>
      <c r="F313" s="64">
        <v>1</v>
      </c>
      <c r="G313" s="61" t="s">
        <v>234</v>
      </c>
      <c r="H313" s="61" t="s">
        <v>480</v>
      </c>
      <c r="I313" s="64" t="s">
        <v>321</v>
      </c>
      <c r="J313" s="64"/>
      <c r="K313" s="213" t="s">
        <v>221</v>
      </c>
      <c r="L313" s="191">
        <v>60005194</v>
      </c>
      <c r="M313" s="192">
        <v>45622</v>
      </c>
      <c r="N313" s="192">
        <v>45631</v>
      </c>
      <c r="O313" s="242" t="s">
        <v>711</v>
      </c>
      <c r="P313" s="62" t="str">
        <f>IF(LEFT(B313,5)="09735",
    IF(ISNA(VLOOKUP(Tabla1313[[#This Row],[Apoyo]],'LM SAP'!A:G,1,FALSE)),
        "No Disponible",
        IF(VLOOKUP(Tabla1313[[#This Row],[Apoyo]],'LM SAP'!A:AD,9,FALSE)="RR",
            "Disponible",
            "Firmas SAP"
        )
    ),
    "CONSULTAR"
)</f>
        <v>No Disponible</v>
      </c>
      <c r="Q313" s="63" t="str">
        <f>MID(Tabla1313[[#This Row],[Código Indra]],1,13)</f>
        <v>0973545020530</v>
      </c>
      <c r="R313" t="s">
        <v>255</v>
      </c>
      <c r="S313" s="63" t="str">
        <f>IF(ISNA(VLOOKUP(Tabla1313[[#This Row],[Código Indra]],#REF!,1,FALSE)),"NO", "SI")</f>
        <v>SI</v>
      </c>
      <c r="T313" s="58"/>
      <c r="U313" t="s">
        <v>256</v>
      </c>
      <c r="V313" t="e">
        <f>VLOOKUP(Tabla1313[[#This Row],[Apoyo]],'LM SAP'!A:I,9,FALSE)</f>
        <v>#N/A</v>
      </c>
      <c r="W313" t="e">
        <f>VLOOKUP(Tabla1313[[#This Row],[Código Indra]],#REF!,1,FALSE)</f>
        <v>#REF!</v>
      </c>
    </row>
    <row r="314" spans="1:23" ht="84" x14ac:dyDescent="0.25">
      <c r="A314" s="64">
        <v>500</v>
      </c>
      <c r="B314" s="64" t="s">
        <v>1206</v>
      </c>
      <c r="C314" s="75" t="s">
        <v>1207</v>
      </c>
      <c r="D314" s="61" t="s">
        <v>1099</v>
      </c>
      <c r="E314" s="75" t="s">
        <v>1208</v>
      </c>
      <c r="F314" s="64">
        <v>1</v>
      </c>
      <c r="G314" s="61" t="s">
        <v>234</v>
      </c>
      <c r="H314" s="61" t="s">
        <v>480</v>
      </c>
      <c r="I314" s="61" t="s">
        <v>321</v>
      </c>
      <c r="J314" s="64"/>
      <c r="K314" s="213" t="s">
        <v>219</v>
      </c>
      <c r="L314" s="191">
        <v>60005215</v>
      </c>
      <c r="M314" s="192">
        <v>45622</v>
      </c>
      <c r="N314" s="192">
        <v>45625</v>
      </c>
      <c r="O314" s="146" t="s">
        <v>1171</v>
      </c>
      <c r="P314" s="62" t="str">
        <f>IF(LEFT(B314,5)="09735",
    IF(ISNA(VLOOKUP(Tabla1313[[#This Row],[Apoyo]],'LM SAP'!A:G,1,FALSE)),
        "No Disponible",
        IF(VLOOKUP(Tabla1313[[#This Row],[Apoyo]],'LM SAP'!A:AD,9,FALSE)="RR",
            "Disponible",
            "Firmas SAP"
        )
    ),
    "CONSULTAR"
)</f>
        <v>No Disponible</v>
      </c>
      <c r="Q314" s="63" t="str">
        <f>MID(Tabla1313[[#This Row],[Código Indra]],1,13)</f>
        <v>0973545020433</v>
      </c>
      <c r="R314" t="s">
        <v>255</v>
      </c>
      <c r="S314" s="63" t="str">
        <f>IF(ISNA(VLOOKUP(Tabla1313[[#This Row],[Código Indra]],#REF!,1,FALSE)),"NO", "SI")</f>
        <v>SI</v>
      </c>
      <c r="T314" s="58"/>
      <c r="U314" t="s">
        <v>256</v>
      </c>
      <c r="V314" t="e">
        <f>VLOOKUP(Tabla1313[[#This Row],[Apoyo]],'LM SAP'!A:I,9,FALSE)</f>
        <v>#N/A</v>
      </c>
      <c r="W314" t="e">
        <f>VLOOKUP(Tabla1313[[#This Row],[Código Indra]],#REF!,1,FALSE)</f>
        <v>#REF!</v>
      </c>
    </row>
    <row r="315" spans="1:23" ht="84" x14ac:dyDescent="0.25">
      <c r="A315" s="64">
        <v>501</v>
      </c>
      <c r="B315" s="61" t="s">
        <v>1209</v>
      </c>
      <c r="C315" s="76" t="s">
        <v>1210</v>
      </c>
      <c r="D315" s="64" t="s">
        <v>1099</v>
      </c>
      <c r="E315" s="76" t="s">
        <v>1211</v>
      </c>
      <c r="F315" s="64">
        <v>1</v>
      </c>
      <c r="G315" s="61" t="s">
        <v>234</v>
      </c>
      <c r="H315" s="61" t="s">
        <v>480</v>
      </c>
      <c r="I315" s="64" t="s">
        <v>321</v>
      </c>
      <c r="J315" s="64"/>
      <c r="K315" s="213" t="s">
        <v>219</v>
      </c>
      <c r="L315" s="191">
        <v>60005216</v>
      </c>
      <c r="M315" s="192">
        <v>45622</v>
      </c>
      <c r="N315" s="192">
        <v>45625</v>
      </c>
      <c r="O315" s="146" t="s">
        <v>1171</v>
      </c>
      <c r="P315" s="62" t="str">
        <f>IF(LEFT(B315,5)="09735",
    IF(ISNA(VLOOKUP(Tabla1313[[#This Row],[Apoyo]],'LM SAP'!A:G,1,FALSE)),
        "No Disponible",
        IF(VLOOKUP(Tabla1313[[#This Row],[Apoyo]],'LM SAP'!A:AD,9,FALSE)="RR",
            "Disponible",
            "Firmas SAP"
        )
    ),
    "CONSULTAR"
)</f>
        <v>No Disponible</v>
      </c>
      <c r="Q315" s="63" t="str">
        <f>MID(Tabla1313[[#This Row],[Código Indra]],1,13)</f>
        <v>0973545020434</v>
      </c>
      <c r="R315" t="s">
        <v>255</v>
      </c>
      <c r="S315" s="63" t="str">
        <f>IF(ISNA(VLOOKUP(Tabla1313[[#This Row],[Código Indra]],#REF!,1,FALSE)),"NO", "SI")</f>
        <v>SI</v>
      </c>
      <c r="T315" s="58"/>
      <c r="U315" t="s">
        <v>256</v>
      </c>
      <c r="V315" t="e">
        <f>VLOOKUP(Tabla1313[[#This Row],[Apoyo]],'LM SAP'!A:I,9,FALSE)</f>
        <v>#N/A</v>
      </c>
      <c r="W315" t="e">
        <f>VLOOKUP(Tabla1313[[#This Row],[Código Indra]],#REF!,1,FALSE)</f>
        <v>#REF!</v>
      </c>
    </row>
    <row r="316" spans="1:23" ht="84" x14ac:dyDescent="0.25">
      <c r="A316" s="64">
        <v>502</v>
      </c>
      <c r="B316" s="64" t="s">
        <v>1212</v>
      </c>
      <c r="C316" s="75" t="s">
        <v>1213</v>
      </c>
      <c r="D316" s="61" t="s">
        <v>1099</v>
      </c>
      <c r="E316" s="75" t="s">
        <v>1214</v>
      </c>
      <c r="F316" s="64">
        <v>1</v>
      </c>
      <c r="G316" s="61" t="s">
        <v>234</v>
      </c>
      <c r="H316" s="61" t="s">
        <v>480</v>
      </c>
      <c r="I316" s="61" t="s">
        <v>321</v>
      </c>
      <c r="J316" s="64"/>
      <c r="K316" s="213" t="s">
        <v>219</v>
      </c>
      <c r="L316" s="191">
        <v>60005217</v>
      </c>
      <c r="M316" s="192">
        <v>45622</v>
      </c>
      <c r="N316" s="192">
        <v>45625</v>
      </c>
      <c r="O316" s="146" t="s">
        <v>1171</v>
      </c>
      <c r="P316" s="62" t="str">
        <f>IF(LEFT(B316,5)="09735",
    IF(ISNA(VLOOKUP(Tabla1313[[#This Row],[Apoyo]],'LM SAP'!A:G,1,FALSE)),
        "No Disponible",
        IF(VLOOKUP(Tabla1313[[#This Row],[Apoyo]],'LM SAP'!A:AD,9,FALSE)="RR",
            "Disponible",
            "Firmas SAP"
        )
    ),
    "CONSULTAR"
)</f>
        <v>No Disponible</v>
      </c>
      <c r="Q316" s="63" t="str">
        <f>MID(Tabla1313[[#This Row],[Código Indra]],1,13)</f>
        <v>0973545020435</v>
      </c>
      <c r="R316" t="s">
        <v>255</v>
      </c>
      <c r="S316" s="63" t="str">
        <f>IF(ISNA(VLOOKUP(Tabla1313[[#This Row],[Código Indra]],#REF!,1,FALSE)),"NO", "SI")</f>
        <v>SI</v>
      </c>
      <c r="T316" s="58"/>
      <c r="U316" t="s">
        <v>256</v>
      </c>
      <c r="V316" t="e">
        <f>VLOOKUP(Tabla1313[[#This Row],[Apoyo]],'LM SAP'!A:I,9,FALSE)</f>
        <v>#N/A</v>
      </c>
      <c r="W316" t="e">
        <f>VLOOKUP(Tabla1313[[#This Row],[Código Indra]],#REF!,1,FALSE)</f>
        <v>#REF!</v>
      </c>
    </row>
    <row r="317" spans="1:23" ht="84" x14ac:dyDescent="0.25">
      <c r="A317" s="64">
        <v>503</v>
      </c>
      <c r="B317" s="61" t="s">
        <v>1215</v>
      </c>
      <c r="C317" s="76" t="s">
        <v>1216</v>
      </c>
      <c r="D317" s="64" t="s">
        <v>1099</v>
      </c>
      <c r="E317" s="76" t="s">
        <v>1217</v>
      </c>
      <c r="F317" s="64">
        <v>1</v>
      </c>
      <c r="G317" s="61" t="s">
        <v>234</v>
      </c>
      <c r="H317" s="61" t="s">
        <v>480</v>
      </c>
      <c r="I317" s="64" t="s">
        <v>321</v>
      </c>
      <c r="J317" s="64"/>
      <c r="K317" s="213" t="s">
        <v>219</v>
      </c>
      <c r="L317" s="191">
        <v>60005218</v>
      </c>
      <c r="M317" s="192">
        <v>45622</v>
      </c>
      <c r="N317" s="192">
        <v>45624</v>
      </c>
      <c r="O317" s="146" t="s">
        <v>1171</v>
      </c>
      <c r="P317" s="62" t="str">
        <f>IF(LEFT(B317,5)="09735",
    IF(ISNA(VLOOKUP(Tabla1313[[#This Row],[Apoyo]],'LM SAP'!A:G,1,FALSE)),
        "No Disponible",
        IF(VLOOKUP(Tabla1313[[#This Row],[Apoyo]],'LM SAP'!A:AD,9,FALSE)="RR",
            "Disponible",
            "Firmas SAP"
        )
    ),
    "CONSULTAR"
)</f>
        <v>No Disponible</v>
      </c>
      <c r="Q317" s="63" t="str">
        <f>MID(Tabla1313[[#This Row],[Código Indra]],1,13)</f>
        <v>0973545020437</v>
      </c>
      <c r="R317" t="s">
        <v>255</v>
      </c>
      <c r="S317" s="63" t="str">
        <f>IF(ISNA(VLOOKUP(Tabla1313[[#This Row],[Código Indra]],#REF!,1,FALSE)),"NO", "SI")</f>
        <v>SI</v>
      </c>
      <c r="T317" s="58"/>
      <c r="U317" t="s">
        <v>256</v>
      </c>
      <c r="V317" t="e">
        <f>VLOOKUP(Tabla1313[[#This Row],[Apoyo]],'LM SAP'!A:I,9,FALSE)</f>
        <v>#N/A</v>
      </c>
      <c r="W317" t="e">
        <f>VLOOKUP(Tabla1313[[#This Row],[Código Indra]],#REF!,1,FALSE)</f>
        <v>#REF!</v>
      </c>
    </row>
    <row r="318" spans="1:23" ht="30" x14ac:dyDescent="0.25">
      <c r="A318" s="64">
        <v>504</v>
      </c>
      <c r="B318" s="64" t="s">
        <v>1218</v>
      </c>
      <c r="C318" s="75" t="s">
        <v>1219</v>
      </c>
      <c r="D318" s="61" t="s">
        <v>1103</v>
      </c>
      <c r="E318" s="75" t="s">
        <v>1220</v>
      </c>
      <c r="F318" s="64">
        <v>1</v>
      </c>
      <c r="G318" s="61" t="s">
        <v>234</v>
      </c>
      <c r="H318" s="61" t="s">
        <v>480</v>
      </c>
      <c r="I318" s="61" t="s">
        <v>321</v>
      </c>
      <c r="J318" s="64"/>
      <c r="K318" s="213" t="s">
        <v>219</v>
      </c>
      <c r="L318" s="191">
        <v>60005251</v>
      </c>
      <c r="M318" s="192">
        <v>45624</v>
      </c>
      <c r="N318" s="192">
        <v>45630</v>
      </c>
      <c r="O318" s="149" t="s">
        <v>281</v>
      </c>
      <c r="P318" s="62" t="str">
        <f>IF(LEFT(B318,5)="09735",
    IF(ISNA(VLOOKUP(Tabla1313[[#This Row],[Apoyo]],'LM SAP'!A:G,1,FALSE)),
        "No Disponible",
        IF(VLOOKUP(Tabla1313[[#This Row],[Apoyo]],'LM SAP'!A:AD,9,FALSE)="RR",
            "Disponible",
            "Firmas SAP"
        )
    ),
    "CONSULTAR"
)</f>
        <v>No Disponible</v>
      </c>
      <c r="Q318" s="63" t="str">
        <f>MID(Tabla1313[[#This Row],[Código Indra]],1,13)</f>
        <v>0973545020540</v>
      </c>
      <c r="R318" t="s">
        <v>255</v>
      </c>
      <c r="S318" s="63" t="str">
        <f>IF(ISNA(VLOOKUP(Tabla1313[[#This Row],[Código Indra]],#REF!,1,FALSE)),"NO", "SI")</f>
        <v>SI</v>
      </c>
      <c r="T318" s="58"/>
      <c r="U318" t="s">
        <v>256</v>
      </c>
      <c r="V318" t="e">
        <f>VLOOKUP(Tabla1313[[#This Row],[Apoyo]],'LM SAP'!A:I,9,FALSE)</f>
        <v>#N/A</v>
      </c>
      <c r="W318" t="e">
        <f>VLOOKUP(Tabla1313[[#This Row],[Código Indra]],#REF!,1,FALSE)</f>
        <v>#REF!</v>
      </c>
    </row>
    <row r="319" spans="1:23" ht="84" x14ac:dyDescent="0.25">
      <c r="A319" s="64">
        <v>505</v>
      </c>
      <c r="B319" s="61" t="s">
        <v>1221</v>
      </c>
      <c r="C319" s="76" t="s">
        <v>1222</v>
      </c>
      <c r="D319" s="64" t="s">
        <v>1099</v>
      </c>
      <c r="E319" s="76" t="s">
        <v>1223</v>
      </c>
      <c r="F319" s="64">
        <v>1</v>
      </c>
      <c r="G319" s="61" t="s">
        <v>234</v>
      </c>
      <c r="H319" s="61" t="s">
        <v>480</v>
      </c>
      <c r="I319" s="64" t="s">
        <v>321</v>
      </c>
      <c r="J319" s="64"/>
      <c r="K319" s="213" t="s">
        <v>219</v>
      </c>
      <c r="L319" s="191">
        <v>60005219</v>
      </c>
      <c r="M319" s="192">
        <v>45622</v>
      </c>
      <c r="N319" s="192">
        <v>45628</v>
      </c>
      <c r="O319" s="146" t="s">
        <v>1171</v>
      </c>
      <c r="P319" s="62" t="str">
        <f>IF(LEFT(B319,5)="09735",
    IF(ISNA(VLOOKUP(Tabla1313[[#This Row],[Apoyo]],'LM SAP'!A:G,1,FALSE)),
        "No Disponible",
        IF(VLOOKUP(Tabla1313[[#This Row],[Apoyo]],'LM SAP'!A:AD,9,FALSE)="RR",
            "Disponible",
            "Firmas SAP"
        )
    ),
    "CONSULTAR"
)</f>
        <v>No Disponible</v>
      </c>
      <c r="Q319" s="63" t="str">
        <f>MID(Tabla1313[[#This Row],[Código Indra]],1,13)</f>
        <v>0973545020445</v>
      </c>
      <c r="R319" t="s">
        <v>255</v>
      </c>
      <c r="S319" s="63" t="str">
        <f>IF(ISNA(VLOOKUP(Tabla1313[[#This Row],[Código Indra]],#REF!,1,FALSE)),"NO", "SI")</f>
        <v>SI</v>
      </c>
      <c r="T319" s="58"/>
      <c r="U319" t="s">
        <v>256</v>
      </c>
      <c r="V319" t="e">
        <f>VLOOKUP(Tabla1313[[#This Row],[Apoyo]],'LM SAP'!A:I,9,FALSE)</f>
        <v>#N/A</v>
      </c>
      <c r="W319" t="e">
        <f>VLOOKUP(Tabla1313[[#This Row],[Código Indra]],#REF!,1,FALSE)</f>
        <v>#REF!</v>
      </c>
    </row>
    <row r="320" spans="1:23" ht="84" x14ac:dyDescent="0.25">
      <c r="A320" s="64">
        <v>506</v>
      </c>
      <c r="B320" s="64" t="s">
        <v>1224</v>
      </c>
      <c r="C320" s="75" t="s">
        <v>1225</v>
      </c>
      <c r="D320" s="61" t="s">
        <v>1099</v>
      </c>
      <c r="E320" s="75" t="s">
        <v>1226</v>
      </c>
      <c r="F320" s="64">
        <v>1</v>
      </c>
      <c r="G320" s="61" t="s">
        <v>234</v>
      </c>
      <c r="H320" s="61" t="s">
        <v>480</v>
      </c>
      <c r="I320" s="61" t="s">
        <v>321</v>
      </c>
      <c r="J320" s="64"/>
      <c r="K320" s="213" t="s">
        <v>219</v>
      </c>
      <c r="L320" s="191">
        <v>60005220</v>
      </c>
      <c r="M320" s="192">
        <v>45622</v>
      </c>
      <c r="N320" s="192">
        <v>45625</v>
      </c>
      <c r="O320" s="146" t="s">
        <v>1171</v>
      </c>
      <c r="P320" s="62" t="str">
        <f>IF(LEFT(B320,5)="09735",
    IF(ISNA(VLOOKUP(Tabla1313[[#This Row],[Apoyo]],'LM SAP'!A:G,1,FALSE)),
        "No Disponible",
        IF(VLOOKUP(Tabla1313[[#This Row],[Apoyo]],'LM SAP'!A:AD,9,FALSE)="RR",
            "Disponible",
            "Firmas SAP"
        )
    ),
    "CONSULTAR"
)</f>
        <v>No Disponible</v>
      </c>
      <c r="Q320" s="63" t="str">
        <f>MID(Tabla1313[[#This Row],[Código Indra]],1,13)</f>
        <v>0973545020447</v>
      </c>
      <c r="R320" t="s">
        <v>255</v>
      </c>
      <c r="S320" s="63" t="str">
        <f>IF(ISNA(VLOOKUP(Tabla1313[[#This Row],[Código Indra]],#REF!,1,FALSE)),"NO", "SI")</f>
        <v>SI</v>
      </c>
      <c r="T320" s="58"/>
      <c r="U320" t="s">
        <v>256</v>
      </c>
      <c r="V320" t="e">
        <f>VLOOKUP(Tabla1313[[#This Row],[Apoyo]],'LM SAP'!A:I,9,FALSE)</f>
        <v>#N/A</v>
      </c>
      <c r="W320" t="e">
        <f>VLOOKUP(Tabla1313[[#This Row],[Código Indra]],#REF!,1,FALSE)</f>
        <v>#REF!</v>
      </c>
    </row>
    <row r="321" spans="1:23" ht="84" x14ac:dyDescent="0.25">
      <c r="A321" s="64">
        <v>507</v>
      </c>
      <c r="B321" s="61" t="s">
        <v>1227</v>
      </c>
      <c r="C321" s="76" t="s">
        <v>1228</v>
      </c>
      <c r="D321" s="64" t="s">
        <v>1099</v>
      </c>
      <c r="E321" s="76" t="s">
        <v>1229</v>
      </c>
      <c r="F321" s="64">
        <v>1</v>
      </c>
      <c r="G321" s="61" t="s">
        <v>234</v>
      </c>
      <c r="H321" s="61" t="s">
        <v>480</v>
      </c>
      <c r="I321" s="64" t="s">
        <v>321</v>
      </c>
      <c r="J321" s="64"/>
      <c r="K321" s="213" t="s">
        <v>219</v>
      </c>
      <c r="L321" s="191">
        <v>60005221</v>
      </c>
      <c r="M321" s="192">
        <v>45622</v>
      </c>
      <c r="N321" s="192">
        <v>45625</v>
      </c>
      <c r="O321" s="146" t="s">
        <v>1171</v>
      </c>
      <c r="P321" s="62" t="str">
        <f>IF(LEFT(B321,5)="09735",
    IF(ISNA(VLOOKUP(Tabla1313[[#This Row],[Apoyo]],'LM SAP'!A:G,1,FALSE)),
        "No Disponible",
        IF(VLOOKUP(Tabla1313[[#This Row],[Apoyo]],'LM SAP'!A:AD,9,FALSE)="RR",
            "Disponible",
            "Firmas SAP"
        )
    ),
    "CONSULTAR"
)</f>
        <v>No Disponible</v>
      </c>
      <c r="Q321" s="63" t="str">
        <f>MID(Tabla1313[[#This Row],[Código Indra]],1,13)</f>
        <v>0973545020455</v>
      </c>
      <c r="R321" t="s">
        <v>255</v>
      </c>
      <c r="S321" s="63" t="str">
        <f>IF(ISNA(VLOOKUP(Tabla1313[[#This Row],[Código Indra]],#REF!,1,FALSE)),"NO", "SI")</f>
        <v>SI</v>
      </c>
      <c r="T321" s="58"/>
      <c r="U321" t="s">
        <v>256</v>
      </c>
      <c r="V321" t="e">
        <f>VLOOKUP(Tabla1313[[#This Row],[Apoyo]],'LM SAP'!A:I,9,FALSE)</f>
        <v>#N/A</v>
      </c>
      <c r="W321" t="e">
        <f>VLOOKUP(Tabla1313[[#This Row],[Código Indra]],#REF!,1,FALSE)</f>
        <v>#REF!</v>
      </c>
    </row>
    <row r="322" spans="1:23" ht="84" x14ac:dyDescent="0.25">
      <c r="A322" s="64">
        <v>508</v>
      </c>
      <c r="B322" s="64" t="s">
        <v>1230</v>
      </c>
      <c r="C322" s="75" t="s">
        <v>1231</v>
      </c>
      <c r="D322" s="61" t="s">
        <v>1099</v>
      </c>
      <c r="E322" s="75" t="s">
        <v>1232</v>
      </c>
      <c r="F322" s="64">
        <v>1</v>
      </c>
      <c r="G322" s="61" t="s">
        <v>234</v>
      </c>
      <c r="H322" s="61" t="s">
        <v>480</v>
      </c>
      <c r="I322" s="61" t="s">
        <v>321</v>
      </c>
      <c r="J322" s="64"/>
      <c r="K322" s="213" t="s">
        <v>219</v>
      </c>
      <c r="L322" s="191">
        <v>60005222</v>
      </c>
      <c r="M322" s="192">
        <v>45622</v>
      </c>
      <c r="N322" s="192">
        <v>45625</v>
      </c>
      <c r="O322" s="146" t="s">
        <v>1171</v>
      </c>
      <c r="P322" s="103" t="str">
        <f>IF(LEFT(B322,5)="09735",
    IF(ISNA(VLOOKUP(Tabla1313[[#This Row],[Apoyo]],'LM SAP'!A:G,1,FALSE)),
        "No Disponible",
        IF(VLOOKUP(Tabla1313[[#This Row],[Apoyo]],'LM SAP'!A:AD,9,FALSE)="RR",
            "Disponible",
            "Firmas SAP"
        )
    ),
    "CONSULTAR"
)</f>
        <v>No Disponible</v>
      </c>
      <c r="Q322" s="63" t="str">
        <f>MID(Tabla1313[[#This Row],[Código Indra]],1,13)</f>
        <v>0973545020457</v>
      </c>
      <c r="R322" t="s">
        <v>255</v>
      </c>
      <c r="S322" s="65" t="str">
        <f>IF(ISNA(VLOOKUP(Tabla1313[[#This Row],[Código Indra]],#REF!,1,FALSE)),"NO", "SI")</f>
        <v>SI</v>
      </c>
      <c r="T322" s="92"/>
      <c r="U322" t="s">
        <v>256</v>
      </c>
      <c r="V322" t="e">
        <f>VLOOKUP(Tabla1313[[#This Row],[Apoyo]],'LM SAP'!A:I,9,FALSE)</f>
        <v>#N/A</v>
      </c>
      <c r="W322" t="e">
        <f>VLOOKUP(Tabla1313[[#This Row],[Código Indra]],#REF!,1,FALSE)</f>
        <v>#REF!</v>
      </c>
    </row>
    <row r="323" spans="1:23" ht="84" x14ac:dyDescent="0.25">
      <c r="A323" s="64">
        <v>509</v>
      </c>
      <c r="B323" s="61" t="s">
        <v>1233</v>
      </c>
      <c r="C323" s="76" t="s">
        <v>1234</v>
      </c>
      <c r="D323" s="64" t="s">
        <v>1099</v>
      </c>
      <c r="E323" s="76" t="s">
        <v>1235</v>
      </c>
      <c r="F323" s="64">
        <v>1</v>
      </c>
      <c r="G323" s="61" t="s">
        <v>234</v>
      </c>
      <c r="H323" s="61" t="s">
        <v>480</v>
      </c>
      <c r="I323" s="64" t="s">
        <v>321</v>
      </c>
      <c r="J323" s="64"/>
      <c r="K323" s="213" t="s">
        <v>219</v>
      </c>
      <c r="L323" s="191">
        <v>60005118</v>
      </c>
      <c r="M323" s="192">
        <v>45617</v>
      </c>
      <c r="N323" s="192">
        <v>45625</v>
      </c>
      <c r="O323" s="146" t="s">
        <v>1171</v>
      </c>
      <c r="P323" s="62" t="str">
        <f>IF(LEFT(B323,5)="09735",
    IF(ISNA(VLOOKUP(Tabla1313[[#This Row],[Apoyo]],'LM SAP'!A:G,1,FALSE)),
        "No Disponible",
        IF(VLOOKUP(Tabla1313[[#This Row],[Apoyo]],'LM SAP'!A:AD,9,FALSE)="RR",
            "Disponible",
            "Firmas SAP"
        )
    ),
    "CONSULTAR"
)</f>
        <v>No Disponible</v>
      </c>
      <c r="Q323" s="63" t="str">
        <f>MID(Tabla1313[[#This Row],[Código Indra]],1,13)</f>
        <v>0973545020467</v>
      </c>
      <c r="R323" t="s">
        <v>255</v>
      </c>
      <c r="S323" s="63" t="str">
        <f>IF(ISNA(VLOOKUP(Tabla1313[[#This Row],[Código Indra]],#REF!,1,FALSE)),"NO", "SI")</f>
        <v>SI</v>
      </c>
      <c r="T323" s="58"/>
      <c r="U323" t="s">
        <v>256</v>
      </c>
      <c r="V323" t="e">
        <f>VLOOKUP(Tabla1313[[#This Row],[Apoyo]],'LM SAP'!A:I,9,FALSE)</f>
        <v>#N/A</v>
      </c>
      <c r="W323" t="e">
        <f>VLOOKUP(Tabla1313[[#This Row],[Código Indra]],#REF!,1,FALSE)</f>
        <v>#REF!</v>
      </c>
    </row>
    <row r="324" spans="1:23" ht="84" x14ac:dyDescent="0.25">
      <c r="A324" s="64">
        <v>510</v>
      </c>
      <c r="B324" s="64" t="s">
        <v>1236</v>
      </c>
      <c r="C324" s="75" t="s">
        <v>1237</v>
      </c>
      <c r="D324" s="61" t="s">
        <v>1099</v>
      </c>
      <c r="E324" s="75" t="s">
        <v>1238</v>
      </c>
      <c r="F324" s="64">
        <v>1</v>
      </c>
      <c r="G324" s="61" t="s">
        <v>234</v>
      </c>
      <c r="H324" s="61" t="s">
        <v>480</v>
      </c>
      <c r="I324" s="61" t="s">
        <v>321</v>
      </c>
      <c r="J324" s="64"/>
      <c r="K324" s="213" t="s">
        <v>219</v>
      </c>
      <c r="L324" s="191">
        <v>60005223</v>
      </c>
      <c r="M324" s="192">
        <v>45622</v>
      </c>
      <c r="N324" s="192">
        <v>45625</v>
      </c>
      <c r="O324" s="146" t="s">
        <v>1171</v>
      </c>
      <c r="P324" s="62" t="str">
        <f>IF(LEFT(B324,5)="09735",
    IF(ISNA(VLOOKUP(Tabla1313[[#This Row],[Apoyo]],'LM SAP'!A:G,1,FALSE)),
        "No Disponible",
        IF(VLOOKUP(Tabla1313[[#This Row],[Apoyo]],'LM SAP'!A:AD,9,FALSE)="RR",
            "Disponible",
            "Firmas SAP"
        )
    ),
    "CONSULTAR"
)</f>
        <v>No Disponible</v>
      </c>
      <c r="Q324" s="63" t="str">
        <f>MID(Tabla1313[[#This Row],[Código Indra]],1,13)</f>
        <v>0973545020477</v>
      </c>
      <c r="R324" t="s">
        <v>255</v>
      </c>
      <c r="S324" s="63" t="str">
        <f>IF(ISNA(VLOOKUP(Tabla1313[[#This Row],[Código Indra]],#REF!,1,FALSE)),"NO", "SI")</f>
        <v>SI</v>
      </c>
      <c r="T324" s="58"/>
      <c r="U324" t="s">
        <v>256</v>
      </c>
      <c r="V324" t="e">
        <f>VLOOKUP(Tabla1313[[#This Row],[Apoyo]],'LM SAP'!A:I,9,FALSE)</f>
        <v>#N/A</v>
      </c>
      <c r="W324" t="e">
        <f>VLOOKUP(Tabla1313[[#This Row],[Código Indra]],#REF!,1,FALSE)</f>
        <v>#REF!</v>
      </c>
    </row>
    <row r="325" spans="1:23" ht="30" x14ac:dyDescent="0.25">
      <c r="A325" s="64">
        <v>511</v>
      </c>
      <c r="B325" s="61" t="s">
        <v>1239</v>
      </c>
      <c r="C325" s="76" t="s">
        <v>1240</v>
      </c>
      <c r="D325" s="64" t="s">
        <v>1117</v>
      </c>
      <c r="E325" s="76" t="s">
        <v>1241</v>
      </c>
      <c r="F325" s="64">
        <v>1</v>
      </c>
      <c r="G325" s="61" t="s">
        <v>234</v>
      </c>
      <c r="H325" s="61" t="s">
        <v>480</v>
      </c>
      <c r="I325" s="64" t="s">
        <v>321</v>
      </c>
      <c r="J325" s="64"/>
      <c r="K325" s="213" t="s">
        <v>219</v>
      </c>
      <c r="L325" s="222">
        <v>60005252</v>
      </c>
      <c r="M325" s="223">
        <v>45624</v>
      </c>
      <c r="N325" s="223">
        <v>45635</v>
      </c>
      <c r="O325" s="240" t="s">
        <v>281</v>
      </c>
      <c r="P325" s="62" t="str">
        <f>IF(LEFT(B325,5)="09735",
    IF(ISNA(VLOOKUP(Tabla1313[[#This Row],[Apoyo]],'LM SAP'!A:G,1,FALSE)),
        "No Disponible",
        IF(VLOOKUP(Tabla1313[[#This Row],[Apoyo]],'LM SAP'!A:AD,9,FALSE)="RR",
            "Disponible",
            "Firmas SAP"
        )
    ),
    "CONSULTAR"
)</f>
        <v>No Disponible</v>
      </c>
      <c r="Q325" s="63" t="str">
        <f>MID(Tabla1313[[#This Row],[Código Indra]],1,13)</f>
        <v>0973545020881</v>
      </c>
      <c r="R325" t="s">
        <v>255</v>
      </c>
      <c r="S325" s="63" t="str">
        <f>IF(ISNA(VLOOKUP(Tabla1313[[#This Row],[Código Indra]],#REF!,1,FALSE)),"NO", "SI")</f>
        <v>SI</v>
      </c>
      <c r="T325" s="58"/>
      <c r="U325" t="s">
        <v>256</v>
      </c>
      <c r="V325" t="e">
        <f>VLOOKUP(Tabla1313[[#This Row],[Apoyo]],'LM SAP'!A:I,9,FALSE)</f>
        <v>#N/A</v>
      </c>
      <c r="W325" t="e">
        <f>VLOOKUP(Tabla1313[[#This Row],[Código Indra]],#REF!,1,FALSE)</f>
        <v>#REF!</v>
      </c>
    </row>
    <row r="326" spans="1:23" ht="30" x14ac:dyDescent="0.25">
      <c r="A326" s="161">
        <v>512</v>
      </c>
      <c r="B326" s="64" t="s">
        <v>1242</v>
      </c>
      <c r="C326" s="75" t="s">
        <v>1243</v>
      </c>
      <c r="D326" s="61" t="s">
        <v>1117</v>
      </c>
      <c r="E326" s="75" t="s">
        <v>1244</v>
      </c>
      <c r="F326" s="64">
        <v>1</v>
      </c>
      <c r="G326" s="61" t="s">
        <v>234</v>
      </c>
      <c r="H326" s="61" t="s">
        <v>480</v>
      </c>
      <c r="I326" s="61" t="s">
        <v>321</v>
      </c>
      <c r="J326" s="64"/>
      <c r="K326" s="213" t="s">
        <v>221</v>
      </c>
      <c r="L326" s="191">
        <v>60005196</v>
      </c>
      <c r="M326" s="192">
        <v>45622</v>
      </c>
      <c r="N326" s="192">
        <v>45625</v>
      </c>
      <c r="O326" s="146" t="s">
        <v>281</v>
      </c>
      <c r="P326" s="62" t="str">
        <f>IF(LEFT(B326,5)="09735",
    IF(ISNA(VLOOKUP(Tabla1313[[#This Row],[Apoyo]],'LM SAP'!A:G,1,FALSE)),
        "No Disponible",
        IF(VLOOKUP(Tabla1313[[#This Row],[Apoyo]],'LM SAP'!A:AD,9,FALSE)="RR",
            "Disponible",
            "Firmas SAP"
        )
    ),
    "CONSULTAR"
)</f>
        <v>Disponible</v>
      </c>
      <c r="Q326" s="63" t="str">
        <f>MID(Tabla1313[[#This Row],[Código Indra]],1,13)</f>
        <v>0973545020882</v>
      </c>
      <c r="R326" t="s">
        <v>255</v>
      </c>
      <c r="S326" s="63" t="str">
        <f>IF(ISNA(VLOOKUP(Tabla1313[[#This Row],[Código Indra]],#REF!,1,FALSE)),"NO", "SI")</f>
        <v>SI</v>
      </c>
      <c r="T326" s="58"/>
      <c r="U326" t="s">
        <v>256</v>
      </c>
      <c r="V326" t="str">
        <f>VLOOKUP(Tabla1313[[#This Row],[Apoyo]],'LM SAP'!A:I,9,FALSE)</f>
        <v>RR</v>
      </c>
      <c r="W326" t="e">
        <f>VLOOKUP(Tabla1313[[#This Row],[Código Indra]],#REF!,1,FALSE)</f>
        <v>#REF!</v>
      </c>
    </row>
    <row r="327" spans="1:23" ht="45" x14ac:dyDescent="0.25">
      <c r="A327" s="64">
        <v>513</v>
      </c>
      <c r="B327" s="61" t="s">
        <v>1245</v>
      </c>
      <c r="C327" s="76" t="s">
        <v>1246</v>
      </c>
      <c r="D327" s="61" t="s">
        <v>1108</v>
      </c>
      <c r="E327" s="76" t="s">
        <v>1247</v>
      </c>
      <c r="F327" s="64">
        <v>1</v>
      </c>
      <c r="G327" s="61" t="s">
        <v>234</v>
      </c>
      <c r="H327" s="61" t="s">
        <v>480</v>
      </c>
      <c r="I327" s="64" t="s">
        <v>321</v>
      </c>
      <c r="J327" s="64"/>
      <c r="K327" s="213" t="s">
        <v>252</v>
      </c>
      <c r="L327" s="191">
        <v>60005224</v>
      </c>
      <c r="M327" s="192">
        <v>45622</v>
      </c>
      <c r="N327" s="192">
        <v>45625</v>
      </c>
      <c r="O327" s="146" t="s">
        <v>1248</v>
      </c>
      <c r="P327" s="62" t="str">
        <f>IF(LEFT(B327,5)="09735",
    IF(ISNA(VLOOKUP(Tabla1313[[#This Row],[Apoyo]],'LM SAP'!A:G,1,FALSE)),
        "No Disponible",
        IF(VLOOKUP(Tabla1313[[#This Row],[Apoyo]],'LM SAP'!A:AD,9,FALSE)="RR",
            "Disponible",
            "Firmas SAP"
        )
    ),
    "CONSULTAR"
)</f>
        <v>No Disponible</v>
      </c>
      <c r="Q327" s="63" t="str">
        <f>MID(Tabla1313[[#This Row],[Código Indra]],1,13)</f>
        <v>0973545020683</v>
      </c>
      <c r="R327" t="s">
        <v>255</v>
      </c>
      <c r="S327" s="63" t="str">
        <f>IF(ISNA(VLOOKUP(Tabla1313[[#This Row],[Código Indra]],#REF!,1,FALSE)),"NO", "SI")</f>
        <v>SI</v>
      </c>
      <c r="T327" s="58"/>
      <c r="U327" t="s">
        <v>256</v>
      </c>
      <c r="V327" t="e">
        <f>VLOOKUP(Tabla1313[[#This Row],[Apoyo]],'LM SAP'!A:I,9,FALSE)</f>
        <v>#N/A</v>
      </c>
      <c r="W327" t="e">
        <f>VLOOKUP(Tabla1313[[#This Row],[Código Indra]],#REF!,1,FALSE)</f>
        <v>#REF!</v>
      </c>
    </row>
    <row r="328" spans="1:23" ht="45" x14ac:dyDescent="0.25">
      <c r="A328" s="64">
        <v>514</v>
      </c>
      <c r="B328" s="61" t="s">
        <v>1249</v>
      </c>
      <c r="C328" s="75" t="s">
        <v>1250</v>
      </c>
      <c r="D328" s="61" t="s">
        <v>1108</v>
      </c>
      <c r="E328" s="75" t="s">
        <v>1251</v>
      </c>
      <c r="F328" s="64">
        <v>1</v>
      </c>
      <c r="G328" s="61" t="s">
        <v>234</v>
      </c>
      <c r="H328" s="61" t="s">
        <v>480</v>
      </c>
      <c r="I328" s="61" t="s">
        <v>321</v>
      </c>
      <c r="J328" s="64"/>
      <c r="K328" s="213" t="s">
        <v>219</v>
      </c>
      <c r="L328" s="191">
        <v>60005225</v>
      </c>
      <c r="M328" s="192">
        <v>45622</v>
      </c>
      <c r="N328" s="192">
        <v>45636</v>
      </c>
      <c r="O328" s="181"/>
      <c r="P328" s="62" t="str">
        <f>IF(LEFT(B328,5)="09735",
    IF(ISNA(VLOOKUP(Tabla1313[[#This Row],[Apoyo]],'LM SAP'!A:G,1,FALSE)),
        "No Disponible",
        IF(VLOOKUP(Tabla1313[[#This Row],[Apoyo]],'LM SAP'!A:AD,9,FALSE)="RR",
            "Disponible",
            "Firmas SAP"
        )
    ),
    "CONSULTAR"
)</f>
        <v>Disponible</v>
      </c>
      <c r="Q328" s="63" t="str">
        <f>MID(Tabla1313[[#This Row],[Código Indra]],1,13)</f>
        <v>0973545020684</v>
      </c>
      <c r="R328" t="s">
        <v>255</v>
      </c>
      <c r="S328" s="63" t="str">
        <f>IF(ISNA(VLOOKUP(Tabla1313[[#This Row],[Código Indra]],#REF!,1,FALSE)),"NO", "SI")</f>
        <v>SI</v>
      </c>
      <c r="T328" s="58"/>
      <c r="U328" t="s">
        <v>256</v>
      </c>
      <c r="V328" t="str">
        <f>VLOOKUP(Tabla1313[[#This Row],[Apoyo]],'LM SAP'!A:I,9,FALSE)</f>
        <v>RR</v>
      </c>
      <c r="W328" t="e">
        <f>VLOOKUP(Tabla1313[[#This Row],[Código Indra]],#REF!,1,FALSE)</f>
        <v>#REF!</v>
      </c>
    </row>
    <row r="329" spans="1:23" ht="45" x14ac:dyDescent="0.25">
      <c r="A329" s="64">
        <v>515</v>
      </c>
      <c r="B329" s="61" t="s">
        <v>1252</v>
      </c>
      <c r="C329" s="76" t="s">
        <v>1253</v>
      </c>
      <c r="D329" s="64" t="s">
        <v>1108</v>
      </c>
      <c r="E329" s="76" t="s">
        <v>1254</v>
      </c>
      <c r="F329" s="64">
        <v>1</v>
      </c>
      <c r="G329" s="61" t="s">
        <v>234</v>
      </c>
      <c r="H329" s="61" t="s">
        <v>480</v>
      </c>
      <c r="I329" s="64" t="s">
        <v>321</v>
      </c>
      <c r="J329" s="64"/>
      <c r="K329" s="213" t="s">
        <v>219</v>
      </c>
      <c r="L329" s="191">
        <v>60005226</v>
      </c>
      <c r="M329" s="192">
        <v>45622</v>
      </c>
      <c r="N329" s="192">
        <v>45625</v>
      </c>
      <c r="O329" s="146" t="s">
        <v>281</v>
      </c>
      <c r="P329" s="62" t="str">
        <f>IF(LEFT(B329,5)="09735",
    IF(ISNA(VLOOKUP(Tabla1313[[#This Row],[Apoyo]],'LM SAP'!A:G,1,FALSE)),
        "No Disponible",
        IF(VLOOKUP(Tabla1313[[#This Row],[Apoyo]],'LM SAP'!A:AD,9,FALSE)="RR",
            "Disponible",
            "Firmas SAP"
        )
    ),
    "CONSULTAR"
)</f>
        <v>Disponible</v>
      </c>
      <c r="Q329" s="63" t="str">
        <f>MID(Tabla1313[[#This Row],[Código Indra]],1,13)</f>
        <v>0973545020685</v>
      </c>
      <c r="R329" t="s">
        <v>255</v>
      </c>
      <c r="S329" s="63" t="str">
        <f>IF(ISNA(VLOOKUP(Tabla1313[[#This Row],[Código Indra]],#REF!,1,FALSE)),"NO", "SI")</f>
        <v>SI</v>
      </c>
      <c r="T329" s="58"/>
      <c r="U329" t="s">
        <v>256</v>
      </c>
      <c r="V329" t="str">
        <f>VLOOKUP(Tabla1313[[#This Row],[Apoyo]],'LM SAP'!A:I,9,FALSE)</f>
        <v>RR</v>
      </c>
      <c r="W329" t="e">
        <f>VLOOKUP(Tabla1313[[#This Row],[Código Indra]],#REF!,1,FALSE)</f>
        <v>#REF!</v>
      </c>
    </row>
    <row r="330" spans="1:23" ht="30" x14ac:dyDescent="0.25">
      <c r="A330" s="161">
        <v>516</v>
      </c>
      <c r="B330" s="64" t="s">
        <v>1255</v>
      </c>
      <c r="C330" s="75" t="s">
        <v>1256</v>
      </c>
      <c r="D330" s="61" t="s">
        <v>1117</v>
      </c>
      <c r="E330" s="75" t="s">
        <v>1257</v>
      </c>
      <c r="F330" s="64">
        <v>1</v>
      </c>
      <c r="G330" s="61" t="s">
        <v>234</v>
      </c>
      <c r="H330" s="61" t="s">
        <v>480</v>
      </c>
      <c r="I330" s="61" t="s">
        <v>321</v>
      </c>
      <c r="J330" s="64"/>
      <c r="K330" s="213" t="s">
        <v>221</v>
      </c>
      <c r="L330" s="191">
        <v>60005197</v>
      </c>
      <c r="M330" s="192">
        <v>45622</v>
      </c>
      <c r="N330" s="192">
        <v>45625</v>
      </c>
      <c r="O330" s="149" t="s">
        <v>281</v>
      </c>
      <c r="P330" s="62" t="str">
        <f>IF(LEFT(B330,5)="09735",
    IF(ISNA(VLOOKUP(Tabla1313[[#This Row],[Apoyo]],'LM SAP'!A:G,1,FALSE)),
        "No Disponible",
        IF(VLOOKUP(Tabla1313[[#This Row],[Apoyo]],'LM SAP'!A:AD,9,FALSE)="RR",
            "Disponible",
            "Firmas SAP"
        )
    ),
    "CONSULTAR"
)</f>
        <v>Disponible</v>
      </c>
      <c r="Q330" s="63" t="str">
        <f>MID(Tabla1313[[#This Row],[Código Indra]],1,13)</f>
        <v>0973545020886</v>
      </c>
      <c r="R330" t="s">
        <v>255</v>
      </c>
      <c r="S330" s="63" t="str">
        <f>IF(ISNA(VLOOKUP(Tabla1313[[#This Row],[Código Indra]],#REF!,1,FALSE)),"NO", "SI")</f>
        <v>SI</v>
      </c>
      <c r="T330" s="58"/>
      <c r="U330" t="s">
        <v>256</v>
      </c>
      <c r="V330" t="str">
        <f>VLOOKUP(Tabla1313[[#This Row],[Apoyo]],'LM SAP'!A:I,9,FALSE)</f>
        <v>RR</v>
      </c>
      <c r="W330" t="e">
        <f>VLOOKUP(Tabla1313[[#This Row],[Código Indra]],#REF!,1,FALSE)</f>
        <v>#REF!</v>
      </c>
    </row>
    <row r="331" spans="1:23" ht="45" x14ac:dyDescent="0.25">
      <c r="A331" s="64">
        <v>517</v>
      </c>
      <c r="B331" s="61" t="s">
        <v>1258</v>
      </c>
      <c r="C331" s="76" t="s">
        <v>1259</v>
      </c>
      <c r="D331" s="64" t="s">
        <v>1108</v>
      </c>
      <c r="E331" s="76" t="s">
        <v>1260</v>
      </c>
      <c r="F331" s="64">
        <v>1</v>
      </c>
      <c r="G331" s="61" t="s">
        <v>234</v>
      </c>
      <c r="H331" s="61" t="s">
        <v>480</v>
      </c>
      <c r="I331" s="64" t="s">
        <v>321</v>
      </c>
      <c r="J331" s="64"/>
      <c r="K331" s="213" t="s">
        <v>221</v>
      </c>
      <c r="L331" s="191">
        <v>60005227</v>
      </c>
      <c r="M331" s="192">
        <v>45622</v>
      </c>
      <c r="N331" s="192">
        <v>45625</v>
      </c>
      <c r="O331" s="146" t="s">
        <v>281</v>
      </c>
      <c r="P331" s="62" t="str">
        <f>IF(LEFT(B331,5)="09735",
    IF(ISNA(VLOOKUP(Tabla1313[[#This Row],[Apoyo]],'LM SAP'!A:G,1,FALSE)),
        "No Disponible",
        IF(VLOOKUP(Tabla1313[[#This Row],[Apoyo]],'LM SAP'!A:AD,9,FALSE)="RR",
            "Disponible",
            "Firmas SAP"
        )
    ),
    "CONSULTAR"
)</f>
        <v>Disponible</v>
      </c>
      <c r="Q331" s="63" t="str">
        <f>MID(Tabla1313[[#This Row],[Código Indra]],1,13)</f>
        <v>0973545020687</v>
      </c>
      <c r="R331" t="s">
        <v>255</v>
      </c>
      <c r="S331" s="63" t="str">
        <f>IF(ISNA(VLOOKUP(Tabla1313[[#This Row],[Código Indra]],#REF!,1,FALSE)),"NO", "SI")</f>
        <v>SI</v>
      </c>
      <c r="T331" s="58"/>
      <c r="U331" t="s">
        <v>256</v>
      </c>
      <c r="V331" t="str">
        <f>VLOOKUP(Tabla1313[[#This Row],[Apoyo]],'LM SAP'!A:I,9,FALSE)</f>
        <v>RR</v>
      </c>
      <c r="W331" t="e">
        <f>VLOOKUP(Tabla1313[[#This Row],[Código Indra]],#REF!,1,FALSE)</f>
        <v>#REF!</v>
      </c>
    </row>
    <row r="332" spans="1:23" ht="45" x14ac:dyDescent="0.25">
      <c r="A332" s="64">
        <v>518</v>
      </c>
      <c r="B332" s="64" t="s">
        <v>1261</v>
      </c>
      <c r="C332" s="75" t="s">
        <v>1262</v>
      </c>
      <c r="D332" s="61" t="s">
        <v>1108</v>
      </c>
      <c r="E332" s="75" t="s">
        <v>1263</v>
      </c>
      <c r="F332" s="64">
        <v>1</v>
      </c>
      <c r="G332" s="61" t="s">
        <v>234</v>
      </c>
      <c r="H332" s="61" t="s">
        <v>480</v>
      </c>
      <c r="I332" s="61" t="s">
        <v>321</v>
      </c>
      <c r="J332" s="64"/>
      <c r="K332" s="213" t="s">
        <v>219</v>
      </c>
      <c r="L332" s="191">
        <v>60005228</v>
      </c>
      <c r="M332" s="192">
        <v>45622</v>
      </c>
      <c r="N332" s="192">
        <v>45625</v>
      </c>
      <c r="O332" s="149" t="s">
        <v>281</v>
      </c>
      <c r="P332" s="62" t="str">
        <f>IF(LEFT(B332,5)="09735",
    IF(ISNA(VLOOKUP(Tabla1313[[#This Row],[Apoyo]],'LM SAP'!A:G,1,FALSE)),
        "No Disponible",
        IF(VLOOKUP(Tabla1313[[#This Row],[Apoyo]],'LM SAP'!A:AD,9,FALSE)="RR",
            "Disponible",
            "Firmas SAP"
        )
    ),
    "CONSULTAR"
)</f>
        <v>Disponible</v>
      </c>
      <c r="Q332" s="63" t="str">
        <f>MID(Tabla1313[[#This Row],[Código Indra]],1,13)</f>
        <v>0973545020688</v>
      </c>
      <c r="R332" t="s">
        <v>255</v>
      </c>
      <c r="S332" s="63" t="str">
        <f>IF(ISNA(VLOOKUP(Tabla1313[[#This Row],[Código Indra]],#REF!,1,FALSE)),"NO", "SI")</f>
        <v>SI</v>
      </c>
      <c r="T332" s="58"/>
      <c r="U332" t="s">
        <v>256</v>
      </c>
      <c r="V332" t="str">
        <f>VLOOKUP(Tabla1313[[#This Row],[Apoyo]],'LM SAP'!A:I,9,FALSE)</f>
        <v>RR</v>
      </c>
      <c r="W332" t="e">
        <f>VLOOKUP(Tabla1313[[#This Row],[Código Indra]],#REF!,1,FALSE)</f>
        <v>#REF!</v>
      </c>
    </row>
    <row r="333" spans="1:23" ht="30" x14ac:dyDescent="0.25">
      <c r="A333" s="64">
        <v>519</v>
      </c>
      <c r="B333" s="61" t="s">
        <v>1264</v>
      </c>
      <c r="C333" s="76" t="s">
        <v>1265</v>
      </c>
      <c r="D333" s="64" t="s">
        <v>1113</v>
      </c>
      <c r="E333" s="76" t="s">
        <v>1266</v>
      </c>
      <c r="F333" s="64">
        <v>1</v>
      </c>
      <c r="G333" s="61" t="s">
        <v>234</v>
      </c>
      <c r="H333" s="61" t="s">
        <v>480</v>
      </c>
      <c r="I333" s="64" t="s">
        <v>321</v>
      </c>
      <c r="J333" s="64"/>
      <c r="K333" s="213" t="s">
        <v>215</v>
      </c>
      <c r="L333" s="191">
        <v>60005381</v>
      </c>
      <c r="M333" s="198">
        <v>45637</v>
      </c>
      <c r="N333" s="192"/>
      <c r="O333" s="102"/>
      <c r="P333" s="62" t="str">
        <f>IF(LEFT(B333,5)="09735",
    IF(ISNA(VLOOKUP(Tabla1313[[#This Row],[Apoyo]],'LM SAP'!A:G,1,FALSE)),
        "No Disponible",
        IF(VLOOKUP(Tabla1313[[#This Row],[Apoyo]],'LM SAP'!A:AD,9,FALSE)="RR",
            "Disponible",
            "Firmas SAP"
        )
    ),
    "CONSULTAR"
)</f>
        <v>No Disponible</v>
      </c>
      <c r="Q333" s="63" t="str">
        <f>MID(Tabla1313[[#This Row],[Código Indra]],1,13)</f>
        <v>0973545020700</v>
      </c>
      <c r="R333" t="s">
        <v>255</v>
      </c>
      <c r="S333" s="63" t="str">
        <f>IF(ISNA(VLOOKUP(Tabla1313[[#This Row],[Código Indra]],#REF!,1,FALSE)),"NO", "SI")</f>
        <v>SI</v>
      </c>
      <c r="T333" s="58"/>
      <c r="U333" t="s">
        <v>256</v>
      </c>
      <c r="V333" t="e">
        <f>VLOOKUP(Tabla1313[[#This Row],[Apoyo]],'LM SAP'!A:I,9,FALSE)</f>
        <v>#N/A</v>
      </c>
      <c r="W333" t="e">
        <f>VLOOKUP(Tabla1313[[#This Row],[Código Indra]],#REF!,1,FALSE)</f>
        <v>#REF!</v>
      </c>
    </row>
    <row r="334" spans="1:23" ht="36" x14ac:dyDescent="0.25">
      <c r="A334" s="64">
        <v>520</v>
      </c>
      <c r="B334" s="157" t="s">
        <v>1267</v>
      </c>
      <c r="C334" s="75" t="s">
        <v>1268</v>
      </c>
      <c r="D334" s="61" t="s">
        <v>1269</v>
      </c>
      <c r="E334" s="75" t="s">
        <v>1270</v>
      </c>
      <c r="F334" s="64">
        <v>1</v>
      </c>
      <c r="G334" s="61" t="s">
        <v>234</v>
      </c>
      <c r="H334" s="61" t="s">
        <v>250</v>
      </c>
      <c r="I334" s="61" t="s">
        <v>276</v>
      </c>
      <c r="J334" s="64"/>
      <c r="K334" s="213" t="s">
        <v>262</v>
      </c>
      <c r="L334" s="191">
        <v>60005119</v>
      </c>
      <c r="M334" s="192">
        <v>45617</v>
      </c>
      <c r="N334" s="192">
        <v>45624</v>
      </c>
      <c r="O334" s="232" t="s">
        <v>1271</v>
      </c>
      <c r="P334" s="62" t="str">
        <f>IF(LEFT(B334,5)="09735",
    IF(ISNA(VLOOKUP(Tabla1313[[#This Row],[Apoyo]],'LM SAP'!A:G,1,FALSE)),
        "No Disponible",
        IF(VLOOKUP(Tabla1313[[#This Row],[Apoyo]],'LM SAP'!A:AD,9,FALSE)="RR",
            "Disponible",
            "Firmas SAP"
        )
    ),
    "CONSULTAR"
)</f>
        <v>No Disponible</v>
      </c>
      <c r="Q334" s="63" t="str">
        <f>MID(Tabla1313[[#This Row],[Código Indra]],1,13)</f>
        <v>0973544190100</v>
      </c>
      <c r="R334" t="s">
        <v>255</v>
      </c>
      <c r="S334" s="63" t="str">
        <f>IF(ISNA(VLOOKUP(Tabla1313[[#This Row],[Código Indra]],#REF!,1,FALSE)),"NO", "SI")</f>
        <v>SI</v>
      </c>
      <c r="T334" s="58"/>
      <c r="U334" t="s">
        <v>256</v>
      </c>
      <c r="V334" t="e">
        <f>VLOOKUP(Tabla1313[[#This Row],[Apoyo]],'LM SAP'!A:I,9,FALSE)</f>
        <v>#N/A</v>
      </c>
      <c r="W334" t="e">
        <f>VLOOKUP(Tabla1313[[#This Row],[Código Indra]],#REF!,1,FALSE)</f>
        <v>#REF!</v>
      </c>
    </row>
    <row r="335" spans="1:23" ht="36" x14ac:dyDescent="0.25">
      <c r="A335" s="64">
        <v>521</v>
      </c>
      <c r="B335" s="158" t="s">
        <v>1272</v>
      </c>
      <c r="C335" s="76" t="s">
        <v>1273</v>
      </c>
      <c r="D335" s="64" t="s">
        <v>1269</v>
      </c>
      <c r="E335" s="76" t="s">
        <v>1274</v>
      </c>
      <c r="F335" s="64">
        <v>1</v>
      </c>
      <c r="G335" s="61" t="s">
        <v>234</v>
      </c>
      <c r="H335" s="61" t="s">
        <v>250</v>
      </c>
      <c r="I335" s="64" t="s">
        <v>276</v>
      </c>
      <c r="J335" s="64"/>
      <c r="K335" s="213" t="s">
        <v>262</v>
      </c>
      <c r="L335" s="191">
        <v>60005120</v>
      </c>
      <c r="M335" s="192">
        <v>45617</v>
      </c>
      <c r="N335" s="192">
        <v>45624</v>
      </c>
      <c r="O335" s="232" t="s">
        <v>1271</v>
      </c>
      <c r="P335" s="62" t="str">
        <f>IF(LEFT(B335,5)="09735",
    IF(ISNA(VLOOKUP(Tabla1313[[#This Row],[Apoyo]],'LM SAP'!A:G,1,FALSE)),
        "No Disponible",
        IF(VLOOKUP(Tabla1313[[#This Row],[Apoyo]],'LM SAP'!A:AD,9,FALSE)="RR",
            "Disponible",
            "Firmas SAP"
        )
    ),
    "CONSULTAR"
)</f>
        <v>No Disponible</v>
      </c>
      <c r="Q335" s="63" t="str">
        <f>MID(Tabla1313[[#This Row],[Código Indra]],1,13)</f>
        <v>0973544190200</v>
      </c>
      <c r="R335" t="s">
        <v>255</v>
      </c>
      <c r="S335" s="63" t="str">
        <f>IF(ISNA(VLOOKUP(Tabla1313[[#This Row],[Código Indra]],#REF!,1,FALSE)),"NO", "SI")</f>
        <v>SI</v>
      </c>
      <c r="T335" s="58"/>
      <c r="U335" t="s">
        <v>256</v>
      </c>
      <c r="V335" t="e">
        <f>VLOOKUP(Tabla1313[[#This Row],[Apoyo]],'LM SAP'!A:I,9,FALSE)</f>
        <v>#N/A</v>
      </c>
      <c r="W335" t="e">
        <f>VLOOKUP(Tabla1313[[#This Row],[Código Indra]],#REF!,1,FALSE)</f>
        <v>#REF!</v>
      </c>
    </row>
    <row r="336" spans="1:23" ht="36" x14ac:dyDescent="0.25">
      <c r="A336" s="64">
        <v>522</v>
      </c>
      <c r="B336" s="157" t="s">
        <v>1275</v>
      </c>
      <c r="C336" s="75" t="s">
        <v>1276</v>
      </c>
      <c r="D336" s="61" t="s">
        <v>1269</v>
      </c>
      <c r="E336" s="75" t="s">
        <v>1277</v>
      </c>
      <c r="F336" s="64">
        <v>1</v>
      </c>
      <c r="G336" s="61" t="s">
        <v>234</v>
      </c>
      <c r="H336" s="61" t="s">
        <v>250</v>
      </c>
      <c r="I336" s="61" t="s">
        <v>276</v>
      </c>
      <c r="J336" s="64"/>
      <c r="K336" s="213" t="s">
        <v>262</v>
      </c>
      <c r="L336" s="191">
        <v>60005121</v>
      </c>
      <c r="M336" s="192">
        <v>45617</v>
      </c>
      <c r="N336" s="192"/>
      <c r="O336" s="232" t="s">
        <v>1271</v>
      </c>
      <c r="P336" s="62" t="str">
        <f>IF(LEFT(B336,5)="09735",
    IF(ISNA(VLOOKUP(Tabla1313[[#This Row],[Apoyo]],'LM SAP'!A:G,1,FALSE)),
        "No Disponible",
        IF(VLOOKUP(Tabla1313[[#This Row],[Apoyo]],'LM SAP'!A:AD,9,FALSE)="RR",
            "Disponible",
            "Firmas SAP"
        )
    ),
    "CONSULTAR"
)</f>
        <v>No Disponible</v>
      </c>
      <c r="Q336" s="63" t="str">
        <f>MID(Tabla1313[[#This Row],[Código Indra]],1,13)</f>
        <v>0973544190300</v>
      </c>
      <c r="R336" t="s">
        <v>255</v>
      </c>
      <c r="S336" s="63" t="str">
        <f>IF(ISNA(VLOOKUP(Tabla1313[[#This Row],[Código Indra]],#REF!,1,FALSE)),"NO", "SI")</f>
        <v>SI</v>
      </c>
      <c r="T336" s="58"/>
      <c r="U336" t="s">
        <v>256</v>
      </c>
      <c r="V336" t="e">
        <f>VLOOKUP(Tabla1313[[#This Row],[Apoyo]],'LM SAP'!A:I,9,FALSE)</f>
        <v>#N/A</v>
      </c>
      <c r="W336" t="e">
        <f>VLOOKUP(Tabla1313[[#This Row],[Código Indra]],#REF!,1,FALSE)</f>
        <v>#REF!</v>
      </c>
    </row>
    <row r="337" spans="1:23" ht="36" x14ac:dyDescent="0.25">
      <c r="A337" s="64">
        <v>523</v>
      </c>
      <c r="B337" s="158" t="s">
        <v>1278</v>
      </c>
      <c r="C337" s="76" t="s">
        <v>1279</v>
      </c>
      <c r="D337" s="64" t="s">
        <v>1269</v>
      </c>
      <c r="E337" s="76" t="s">
        <v>1280</v>
      </c>
      <c r="F337" s="64">
        <v>1</v>
      </c>
      <c r="G337" s="61" t="s">
        <v>234</v>
      </c>
      <c r="H337" s="61" t="s">
        <v>250</v>
      </c>
      <c r="I337" s="64" t="s">
        <v>276</v>
      </c>
      <c r="J337" s="64"/>
      <c r="K337" s="213" t="s">
        <v>262</v>
      </c>
      <c r="L337" s="191">
        <v>60005122</v>
      </c>
      <c r="M337" s="192">
        <v>45617</v>
      </c>
      <c r="N337" s="192">
        <v>45624</v>
      </c>
      <c r="O337" s="232" t="s">
        <v>1271</v>
      </c>
      <c r="P337" s="62" t="str">
        <f>IF(LEFT(B337,5)="09735",
    IF(ISNA(VLOOKUP(Tabla1313[[#This Row],[Apoyo]],'LM SAP'!A:G,1,FALSE)),
        "No Disponible",
        IF(VLOOKUP(Tabla1313[[#This Row],[Apoyo]],'LM SAP'!A:AD,9,FALSE)="RR",
            "Disponible",
            "Firmas SAP"
        )
    ),
    "CONSULTAR"
)</f>
        <v>No Disponible</v>
      </c>
      <c r="Q337" s="63" t="str">
        <f>MID(Tabla1313[[#This Row],[Código Indra]],1,13)</f>
        <v>0973544190400</v>
      </c>
      <c r="R337" t="s">
        <v>255</v>
      </c>
      <c r="S337" s="63" t="str">
        <f>IF(ISNA(VLOOKUP(Tabla1313[[#This Row],[Código Indra]],#REF!,1,FALSE)),"NO", "SI")</f>
        <v>SI</v>
      </c>
      <c r="T337" s="58"/>
      <c r="U337" t="s">
        <v>256</v>
      </c>
      <c r="V337" t="e">
        <f>VLOOKUP(Tabla1313[[#This Row],[Apoyo]],'LM SAP'!A:I,9,FALSE)</f>
        <v>#N/A</v>
      </c>
      <c r="W337" t="e">
        <f>VLOOKUP(Tabla1313[[#This Row],[Código Indra]],#REF!,1,FALSE)</f>
        <v>#REF!</v>
      </c>
    </row>
    <row r="338" spans="1:23" ht="36" x14ac:dyDescent="0.25">
      <c r="A338" s="64">
        <v>524</v>
      </c>
      <c r="B338" s="157" t="s">
        <v>1281</v>
      </c>
      <c r="C338" s="75" t="s">
        <v>1282</v>
      </c>
      <c r="D338" s="61" t="s">
        <v>61</v>
      </c>
      <c r="E338" s="75" t="s">
        <v>1283</v>
      </c>
      <c r="F338" s="64">
        <v>1</v>
      </c>
      <c r="G338" s="61" t="s">
        <v>234</v>
      </c>
      <c r="H338" s="61" t="s">
        <v>275</v>
      </c>
      <c r="I338" s="61" t="s">
        <v>276</v>
      </c>
      <c r="J338" s="64"/>
      <c r="K338" s="213" t="s">
        <v>262</v>
      </c>
      <c r="L338" s="191">
        <v>60005123</v>
      </c>
      <c r="M338" s="192">
        <v>45617</v>
      </c>
      <c r="N338" s="192">
        <v>45624</v>
      </c>
      <c r="O338" s="232" t="s">
        <v>1271</v>
      </c>
      <c r="P338" s="62" t="str">
        <f>IF(LEFT(B338,5)="09735",
    IF(ISNA(VLOOKUP(Tabla1313[[#This Row],[Apoyo]],'LM SAP'!A:G,1,FALSE)),
        "No Disponible",
        IF(VLOOKUP(Tabla1313[[#This Row],[Apoyo]],'LM SAP'!A:AD,9,FALSE)="RR",
            "Disponible",
            "Firmas SAP"
        )
    ),
    "CONSULTAR"
)</f>
        <v>No Disponible</v>
      </c>
      <c r="Q338" s="63" t="str">
        <f>MID(Tabla1313[[#This Row],[Código Indra]],1,13)</f>
        <v>0973544200100</v>
      </c>
      <c r="R338" t="s">
        <v>255</v>
      </c>
      <c r="S338" s="63" t="str">
        <f>IF(ISNA(VLOOKUP(Tabla1313[[#This Row],[Código Indra]],#REF!,1,FALSE)),"NO", "SI")</f>
        <v>SI</v>
      </c>
      <c r="T338" s="58"/>
      <c r="U338" t="s">
        <v>256</v>
      </c>
      <c r="V338" t="e">
        <f>VLOOKUP(Tabla1313[[#This Row],[Apoyo]],'LM SAP'!A:I,9,FALSE)</f>
        <v>#N/A</v>
      </c>
      <c r="W338" t="e">
        <f>VLOOKUP(Tabla1313[[#This Row],[Código Indra]],#REF!,1,FALSE)</f>
        <v>#REF!</v>
      </c>
    </row>
    <row r="339" spans="1:23" s="130" customFormat="1" ht="45" x14ac:dyDescent="0.25">
      <c r="A339" s="152">
        <v>525</v>
      </c>
      <c r="B339" s="125" t="s">
        <v>1284</v>
      </c>
      <c r="C339" s="153" t="s">
        <v>1285</v>
      </c>
      <c r="D339" s="152" t="s">
        <v>61</v>
      </c>
      <c r="E339" s="153" t="s">
        <v>1286</v>
      </c>
      <c r="F339" s="152">
        <v>1</v>
      </c>
      <c r="G339" s="125" t="s">
        <v>234</v>
      </c>
      <c r="H339" s="152"/>
      <c r="I339" s="152" t="s">
        <v>321</v>
      </c>
      <c r="J339" s="152"/>
      <c r="K339" s="250" t="s">
        <v>212</v>
      </c>
      <c r="L339" s="203"/>
      <c r="M339" s="198"/>
      <c r="N339" s="198"/>
      <c r="O339" s="180" t="s">
        <v>1287</v>
      </c>
      <c r="P339" s="133" t="str">
        <f>IF(LEFT(B339,5)="09735",
    IF(ISNA(VLOOKUP(Tabla1313[[#This Row],[Apoyo]],'LM SAP'!A:G,1,FALSE)),
        "No Disponible",
        IF(VLOOKUP(Tabla1313[[#This Row],[Apoyo]],'LM SAP'!A:AD,9,FALSE)="RR",
            "Disponible",
            "Firmas SAP"
        )
    ),
    "CONSULTAR"
)</f>
        <v>No Disponible</v>
      </c>
      <c r="Q339" s="127" t="str">
        <f>MID(Tabla1313[[#This Row],[Código Indra]],1,13)</f>
        <v>0973544201200</v>
      </c>
      <c r="R339" s="110" t="s">
        <v>255</v>
      </c>
      <c r="S339" s="127" t="str">
        <f>IF(ISNA(VLOOKUP(Tabla1313[[#This Row],[Código Indra]],#REF!,1,FALSE)),"NO", "SI")</f>
        <v>SI</v>
      </c>
      <c r="T339" s="134"/>
      <c r="U339" t="s">
        <v>256</v>
      </c>
      <c r="V339" t="e">
        <f>VLOOKUP(Tabla1313[[#This Row],[Apoyo]],'LM SAP'!A:I,9,FALSE)</f>
        <v>#N/A</v>
      </c>
      <c r="W339" s="130" t="e">
        <f>VLOOKUP(Tabla1313[[#This Row],[Código Indra]],#REF!,1,FALSE)</f>
        <v>#REF!</v>
      </c>
    </row>
    <row r="340" spans="1:23" s="130" customFormat="1" ht="45" x14ac:dyDescent="0.25">
      <c r="A340" s="152">
        <v>526</v>
      </c>
      <c r="B340" s="125" t="s">
        <v>1288</v>
      </c>
      <c r="C340" s="126" t="s">
        <v>1289</v>
      </c>
      <c r="D340" s="125" t="s">
        <v>61</v>
      </c>
      <c r="E340" s="126" t="s">
        <v>1290</v>
      </c>
      <c r="F340" s="152">
        <v>1</v>
      </c>
      <c r="G340" s="125" t="s">
        <v>234</v>
      </c>
      <c r="H340" s="152"/>
      <c r="I340" s="125" t="s">
        <v>321</v>
      </c>
      <c r="J340" s="152"/>
      <c r="K340" s="250" t="s">
        <v>215</v>
      </c>
      <c r="L340" s="251">
        <v>60005364</v>
      </c>
      <c r="M340" s="252">
        <v>45636</v>
      </c>
      <c r="N340" s="198"/>
      <c r="O340" s="180"/>
      <c r="P340" s="133" t="str">
        <f>IF(LEFT(B340,5)="09735",
    IF(ISNA(VLOOKUP(Tabla1313[[#This Row],[Apoyo]],'LM SAP'!A:G,1,FALSE)),
        "No Disponible",
        IF(VLOOKUP(Tabla1313[[#This Row],[Apoyo]],'LM SAP'!A:AD,9,FALSE)="RR",
            "Disponible",
            "Firmas SAP"
        )
    ),
    "CONSULTAR"
)</f>
        <v>No Disponible</v>
      </c>
      <c r="Q340" s="127" t="str">
        <f>MID(Tabla1313[[#This Row],[Código Indra]],1,13)</f>
        <v>0973544201300</v>
      </c>
      <c r="R340" t="s">
        <v>255</v>
      </c>
      <c r="S340" s="127" t="str">
        <f>IF(ISNA(VLOOKUP(Tabla1313[[#This Row],[Código Indra]],#REF!,1,FALSE)),"NO", "SI")</f>
        <v>SI</v>
      </c>
      <c r="T340" s="134"/>
      <c r="U340" t="s">
        <v>256</v>
      </c>
      <c r="V340" t="e">
        <f>VLOOKUP(Tabla1313[[#This Row],[Apoyo]],'LM SAP'!A:I,9,FALSE)</f>
        <v>#N/A</v>
      </c>
      <c r="W340" s="130" t="e">
        <f>VLOOKUP(Tabla1313[[#This Row],[Código Indra]],#REF!,1,FALSE)</f>
        <v>#REF!</v>
      </c>
    </row>
    <row r="341" spans="1:23" s="130" customFormat="1" ht="45" x14ac:dyDescent="0.25">
      <c r="A341" s="152">
        <v>527</v>
      </c>
      <c r="B341" s="125" t="s">
        <v>1291</v>
      </c>
      <c r="C341" s="153" t="s">
        <v>1292</v>
      </c>
      <c r="D341" s="152" t="s">
        <v>61</v>
      </c>
      <c r="E341" s="153" t="s">
        <v>1293</v>
      </c>
      <c r="F341" s="152">
        <v>1</v>
      </c>
      <c r="G341" s="125" t="s">
        <v>234</v>
      </c>
      <c r="H341" s="152"/>
      <c r="I341" s="152" t="s">
        <v>321</v>
      </c>
      <c r="J341" s="152"/>
      <c r="K341" s="250" t="s">
        <v>215</v>
      </c>
      <c r="L341" s="251">
        <v>60005365</v>
      </c>
      <c r="M341" s="252">
        <v>45636</v>
      </c>
      <c r="N341" s="198"/>
      <c r="O341" s="180"/>
      <c r="P341" s="133" t="str">
        <f>IF(LEFT(B341,5)="09735",
    IF(ISNA(VLOOKUP(Tabla1313[[#This Row],[Apoyo]],'LM SAP'!A:G,1,FALSE)),
        "No Disponible",
        IF(VLOOKUP(Tabla1313[[#This Row],[Apoyo]],'LM SAP'!A:AD,9,FALSE)="RR",
            "Disponible",
            "Firmas SAP"
        )
    ),
    "CONSULTAR"
)</f>
        <v>No Disponible</v>
      </c>
      <c r="Q341" s="127" t="str">
        <f>MID(Tabla1313[[#This Row],[Código Indra]],1,13)</f>
        <v>0973544201400</v>
      </c>
      <c r="R341" t="s">
        <v>255</v>
      </c>
      <c r="S341" s="127" t="str">
        <f>IF(ISNA(VLOOKUP(Tabla1313[[#This Row],[Código Indra]],#REF!,1,FALSE)),"NO", "SI")</f>
        <v>SI</v>
      </c>
      <c r="T341" s="134"/>
      <c r="U341" t="s">
        <v>256</v>
      </c>
      <c r="V341" t="e">
        <f>VLOOKUP(Tabla1313[[#This Row],[Apoyo]],'LM SAP'!A:I,9,FALSE)</f>
        <v>#N/A</v>
      </c>
      <c r="W341" s="130" t="e">
        <f>VLOOKUP(Tabla1313[[#This Row],[Código Indra]],#REF!,1,FALSE)</f>
        <v>#REF!</v>
      </c>
    </row>
    <row r="342" spans="1:23" s="110" customFormat="1" ht="30" x14ac:dyDescent="0.25">
      <c r="A342" s="137">
        <v>528</v>
      </c>
      <c r="B342" s="137" t="s">
        <v>1294</v>
      </c>
      <c r="C342" s="138" t="s">
        <v>1295</v>
      </c>
      <c r="D342" s="139" t="s">
        <v>1296</v>
      </c>
      <c r="E342" s="138" t="s">
        <v>1297</v>
      </c>
      <c r="F342" s="137">
        <v>1</v>
      </c>
      <c r="G342" s="139" t="s">
        <v>234</v>
      </c>
      <c r="H342" s="137"/>
      <c r="I342" s="139" t="s">
        <v>251</v>
      </c>
      <c r="J342" s="137"/>
      <c r="K342" s="272" t="s">
        <v>212</v>
      </c>
      <c r="L342" s="204"/>
      <c r="M342" s="205"/>
      <c r="N342" s="205"/>
      <c r="O342" s="140" t="s">
        <v>1298</v>
      </c>
      <c r="P342" s="141" t="str">
        <f>IF(LEFT(B342,5)="09735",
    IF(ISNA(VLOOKUP(Tabla1313[[#This Row],[Apoyo]],'LM SAP'!A:G,1,FALSE)),
        "No Disponible",
        IF(VLOOKUP(Tabla1313[[#This Row],[Apoyo]],'LM SAP'!A:AD,9,FALSE)="RR",
            "Disponible",
            "Firmas SAP"
        )
    ),
    "CONSULTAR"
)</f>
        <v>Disponible</v>
      </c>
      <c r="Q342" s="63" t="str">
        <f>MID(Tabla1313[[#This Row],[Código Indra]],1,13)</f>
        <v>0973544200615</v>
      </c>
      <c r="R342" t="s">
        <v>255</v>
      </c>
      <c r="S342" s="63" t="str">
        <f>IF(ISNA(VLOOKUP(Tabla1313[[#This Row],[Código Indra]],#REF!,1,FALSE)),"NO", "SI")</f>
        <v>SI</v>
      </c>
      <c r="T342" s="142"/>
      <c r="U342" t="s">
        <v>256</v>
      </c>
      <c r="V342" t="str">
        <f>VLOOKUP(Tabla1313[[#This Row],[Apoyo]],'LM SAP'!A:I,9,FALSE)</f>
        <v>RR</v>
      </c>
      <c r="W342" s="110" t="e">
        <f>VLOOKUP(Tabla1313[[#This Row],[Código Indra]],#REF!,1,FALSE)</f>
        <v>#REF!</v>
      </c>
    </row>
    <row r="343" spans="1:23" s="110" customFormat="1" ht="30" x14ac:dyDescent="0.25">
      <c r="A343" s="137">
        <v>529</v>
      </c>
      <c r="B343" s="139" t="s">
        <v>1299</v>
      </c>
      <c r="C343" s="143" t="s">
        <v>1300</v>
      </c>
      <c r="D343" s="137" t="s">
        <v>1296</v>
      </c>
      <c r="E343" s="143" t="s">
        <v>1297</v>
      </c>
      <c r="F343" s="137">
        <v>1</v>
      </c>
      <c r="G343" s="139" t="s">
        <v>234</v>
      </c>
      <c r="H343" s="137"/>
      <c r="I343" s="137" t="s">
        <v>251</v>
      </c>
      <c r="J343" s="137"/>
      <c r="K343" s="272" t="s">
        <v>212</v>
      </c>
      <c r="L343" s="204"/>
      <c r="M343" s="205"/>
      <c r="N343" s="205"/>
      <c r="O343" s="140" t="s">
        <v>1298</v>
      </c>
      <c r="P343" s="141" t="str">
        <f>IF(LEFT(B343,5)="09735",
    IF(ISNA(VLOOKUP(Tabla1313[[#This Row],[Apoyo]],'LM SAP'!A:G,1,FALSE)),
        "No Disponible",
        IF(VLOOKUP(Tabla1313[[#This Row],[Apoyo]],'LM SAP'!A:AD,9,FALSE)="RR",
            "Disponible",
            "Firmas SAP"
        )
    ),
    "CONSULTAR"
)</f>
        <v>Disponible</v>
      </c>
      <c r="Q343" s="63" t="str">
        <f>MID(Tabla1313[[#This Row],[Código Indra]],1,13)</f>
        <v>0973544200616</v>
      </c>
      <c r="R343" t="s">
        <v>255</v>
      </c>
      <c r="S343" s="63" t="str">
        <f>IF(ISNA(VLOOKUP(Tabla1313[[#This Row],[Código Indra]],#REF!,1,FALSE)),"NO", "SI")</f>
        <v>SI</v>
      </c>
      <c r="T343" s="142"/>
      <c r="U343" t="s">
        <v>256</v>
      </c>
      <c r="V343" t="str">
        <f>VLOOKUP(Tabla1313[[#This Row],[Apoyo]],'LM SAP'!A:I,9,FALSE)</f>
        <v>RR</v>
      </c>
      <c r="W343" s="110" t="e">
        <f>VLOOKUP(Tabla1313[[#This Row],[Código Indra]],#REF!,1,FALSE)</f>
        <v>#REF!</v>
      </c>
    </row>
    <row r="344" spans="1:23" s="110" customFormat="1" ht="30" x14ac:dyDescent="0.25">
      <c r="A344" s="137">
        <v>530</v>
      </c>
      <c r="B344" s="137" t="s">
        <v>1301</v>
      </c>
      <c r="C344" s="138" t="s">
        <v>1302</v>
      </c>
      <c r="D344" s="139" t="s">
        <v>1296</v>
      </c>
      <c r="E344" s="138" t="s">
        <v>1297</v>
      </c>
      <c r="F344" s="137">
        <v>1</v>
      </c>
      <c r="G344" s="139" t="s">
        <v>234</v>
      </c>
      <c r="H344" s="137"/>
      <c r="I344" s="139" t="s">
        <v>251</v>
      </c>
      <c r="J344" s="137"/>
      <c r="K344" s="272" t="s">
        <v>212</v>
      </c>
      <c r="L344" s="204"/>
      <c r="M344" s="205"/>
      <c r="N344" s="205"/>
      <c r="O344" s="140" t="s">
        <v>1298</v>
      </c>
      <c r="P344" s="141" t="str">
        <f>IF(LEFT(B344,5)="09735",
    IF(ISNA(VLOOKUP(Tabla1313[[#This Row],[Apoyo]],'LM SAP'!A:G,1,FALSE)),
        "No Disponible",
        IF(VLOOKUP(Tabla1313[[#This Row],[Apoyo]],'LM SAP'!A:AD,9,FALSE)="RR",
            "Disponible",
            "Firmas SAP"
        )
    ),
    "CONSULTAR"
)</f>
        <v>Disponible</v>
      </c>
      <c r="Q344" s="63" t="str">
        <f>MID(Tabla1313[[#This Row],[Código Indra]],1,13)</f>
        <v>0973544200617</v>
      </c>
      <c r="R344" t="s">
        <v>255</v>
      </c>
      <c r="S344" s="63" t="str">
        <f>IF(ISNA(VLOOKUP(Tabla1313[[#This Row],[Código Indra]],#REF!,1,FALSE)),"NO", "SI")</f>
        <v>SI</v>
      </c>
      <c r="T344" s="142"/>
      <c r="U344" t="s">
        <v>256</v>
      </c>
      <c r="V344" t="str">
        <f>VLOOKUP(Tabla1313[[#This Row],[Apoyo]],'LM SAP'!A:I,9,FALSE)</f>
        <v>RR</v>
      </c>
      <c r="W344" s="110" t="e">
        <f>VLOOKUP(Tabla1313[[#This Row],[Código Indra]],#REF!,1,FALSE)</f>
        <v>#REF!</v>
      </c>
    </row>
    <row r="345" spans="1:23" s="110" customFormat="1" ht="30" x14ac:dyDescent="0.25">
      <c r="A345" s="137">
        <v>531</v>
      </c>
      <c r="B345" s="139" t="s">
        <v>1303</v>
      </c>
      <c r="C345" s="143" t="s">
        <v>1304</v>
      </c>
      <c r="D345" s="137" t="s">
        <v>1296</v>
      </c>
      <c r="E345" s="143" t="s">
        <v>1297</v>
      </c>
      <c r="F345" s="137">
        <v>1</v>
      </c>
      <c r="G345" s="139" t="s">
        <v>234</v>
      </c>
      <c r="H345" s="137"/>
      <c r="I345" s="137" t="s">
        <v>251</v>
      </c>
      <c r="J345" s="137"/>
      <c r="K345" s="272" t="s">
        <v>212</v>
      </c>
      <c r="L345" s="204"/>
      <c r="M345" s="205"/>
      <c r="N345" s="205"/>
      <c r="O345" s="140" t="s">
        <v>1298</v>
      </c>
      <c r="P345" s="141" t="str">
        <f>IF(LEFT(B345,5)="09735",
    IF(ISNA(VLOOKUP(Tabla1313[[#This Row],[Apoyo]],'LM SAP'!A:G,1,FALSE)),
        "No Disponible",
        IF(VLOOKUP(Tabla1313[[#This Row],[Apoyo]],'LM SAP'!A:AD,9,FALSE)="RR",
            "Disponible",
            "Firmas SAP"
        )
    ),
    "CONSULTAR"
)</f>
        <v>Disponible</v>
      </c>
      <c r="Q345" s="63" t="str">
        <f>MID(Tabla1313[[#This Row],[Código Indra]],1,13)</f>
        <v>0973544200618</v>
      </c>
      <c r="R345" t="s">
        <v>255</v>
      </c>
      <c r="S345" s="63" t="str">
        <f>IF(ISNA(VLOOKUP(Tabla1313[[#This Row],[Código Indra]],#REF!,1,FALSE)),"NO", "SI")</f>
        <v>SI</v>
      </c>
      <c r="T345" s="142"/>
      <c r="U345" t="s">
        <v>256</v>
      </c>
      <c r="V345" t="str">
        <f>VLOOKUP(Tabla1313[[#This Row],[Apoyo]],'LM SAP'!A:I,9,FALSE)</f>
        <v>RR</v>
      </c>
      <c r="W345" s="110" t="e">
        <f>VLOOKUP(Tabla1313[[#This Row],[Código Indra]],#REF!,1,FALSE)</f>
        <v>#REF!</v>
      </c>
    </row>
    <row r="346" spans="1:23" s="110" customFormat="1" ht="30" x14ac:dyDescent="0.25">
      <c r="A346" s="137">
        <v>532</v>
      </c>
      <c r="B346" s="137" t="s">
        <v>1305</v>
      </c>
      <c r="C346" s="138" t="s">
        <v>1306</v>
      </c>
      <c r="D346" s="139" t="s">
        <v>1296</v>
      </c>
      <c r="E346" s="138" t="s">
        <v>1297</v>
      </c>
      <c r="F346" s="137">
        <v>1</v>
      </c>
      <c r="G346" s="139" t="s">
        <v>234</v>
      </c>
      <c r="H346" s="137"/>
      <c r="I346" s="139" t="s">
        <v>251</v>
      </c>
      <c r="J346" s="137"/>
      <c r="K346" s="272" t="s">
        <v>212</v>
      </c>
      <c r="L346" s="204"/>
      <c r="M346" s="205"/>
      <c r="N346" s="205"/>
      <c r="O346" s="140" t="s">
        <v>1298</v>
      </c>
      <c r="P346" s="141" t="str">
        <f>IF(LEFT(B346,5)="09735",
    IF(ISNA(VLOOKUP(Tabla1313[[#This Row],[Apoyo]],'LM SAP'!A:G,1,FALSE)),
        "No Disponible",
        IF(VLOOKUP(Tabla1313[[#This Row],[Apoyo]],'LM SAP'!A:AD,9,FALSE)="RR",
            "Disponible",
            "Firmas SAP"
        )
    ),
    "CONSULTAR"
)</f>
        <v>Disponible</v>
      </c>
      <c r="Q346" s="63" t="str">
        <f>MID(Tabla1313[[#This Row],[Código Indra]],1,13)</f>
        <v>0973544200619</v>
      </c>
      <c r="R346" t="s">
        <v>255</v>
      </c>
      <c r="S346" s="63" t="str">
        <f>IF(ISNA(VLOOKUP(Tabla1313[[#This Row],[Código Indra]],#REF!,1,FALSE)),"NO", "SI")</f>
        <v>SI</v>
      </c>
      <c r="T346" s="142"/>
      <c r="U346" t="s">
        <v>256</v>
      </c>
      <c r="V346" t="str">
        <f>VLOOKUP(Tabla1313[[#This Row],[Apoyo]],'LM SAP'!A:I,9,FALSE)</f>
        <v>RR</v>
      </c>
      <c r="W346" s="110" t="e">
        <f>VLOOKUP(Tabla1313[[#This Row],[Código Indra]],#REF!,1,FALSE)</f>
        <v>#REF!</v>
      </c>
    </row>
    <row r="347" spans="1:23" s="110" customFormat="1" ht="30" x14ac:dyDescent="0.25">
      <c r="A347" s="137">
        <v>533</v>
      </c>
      <c r="B347" s="139" t="s">
        <v>1307</v>
      </c>
      <c r="C347" s="143" t="s">
        <v>1308</v>
      </c>
      <c r="D347" s="137" t="s">
        <v>1296</v>
      </c>
      <c r="E347" s="143" t="s">
        <v>1297</v>
      </c>
      <c r="F347" s="137">
        <v>1</v>
      </c>
      <c r="G347" s="139" t="s">
        <v>234</v>
      </c>
      <c r="H347" s="137"/>
      <c r="I347" s="137" t="s">
        <v>251</v>
      </c>
      <c r="J347" s="137"/>
      <c r="K347" s="272" t="s">
        <v>212</v>
      </c>
      <c r="L347" s="204"/>
      <c r="M347" s="205"/>
      <c r="N347" s="205"/>
      <c r="O347" s="140" t="s">
        <v>1298</v>
      </c>
      <c r="P347" s="141" t="str">
        <f>IF(LEFT(B347,5)="09735",
    IF(ISNA(VLOOKUP(Tabla1313[[#This Row],[Apoyo]],'LM SAP'!A:G,1,FALSE)),
        "No Disponible",
        IF(VLOOKUP(Tabla1313[[#This Row],[Apoyo]],'LM SAP'!A:AD,9,FALSE)="RR",
            "Disponible",
            "Firmas SAP"
        )
    ),
    "CONSULTAR"
)</f>
        <v>Disponible</v>
      </c>
      <c r="Q347" s="63" t="str">
        <f>MID(Tabla1313[[#This Row],[Código Indra]],1,13)</f>
        <v>0973544200620</v>
      </c>
      <c r="R347" t="s">
        <v>255</v>
      </c>
      <c r="S347" s="63" t="str">
        <f>IF(ISNA(VLOOKUP(Tabla1313[[#This Row],[Código Indra]],#REF!,1,FALSE)),"NO", "SI")</f>
        <v>SI</v>
      </c>
      <c r="T347" s="142"/>
      <c r="U347" t="s">
        <v>256</v>
      </c>
      <c r="V347" t="str">
        <f>VLOOKUP(Tabla1313[[#This Row],[Apoyo]],'LM SAP'!A:I,9,FALSE)</f>
        <v>RR</v>
      </c>
      <c r="W347" s="110" t="e">
        <f>VLOOKUP(Tabla1313[[#This Row],[Código Indra]],#REF!,1,FALSE)</f>
        <v>#REF!</v>
      </c>
    </row>
    <row r="348" spans="1:23" s="110" customFormat="1" ht="30" x14ac:dyDescent="0.25">
      <c r="A348" s="137">
        <v>534</v>
      </c>
      <c r="B348" s="137" t="s">
        <v>1309</v>
      </c>
      <c r="C348" s="138" t="s">
        <v>1310</v>
      </c>
      <c r="D348" s="139" t="s">
        <v>1296</v>
      </c>
      <c r="E348" s="138" t="s">
        <v>1297</v>
      </c>
      <c r="F348" s="137">
        <v>1</v>
      </c>
      <c r="G348" s="139" t="s">
        <v>234</v>
      </c>
      <c r="H348" s="137"/>
      <c r="I348" s="139" t="s">
        <v>251</v>
      </c>
      <c r="J348" s="137"/>
      <c r="K348" s="272" t="s">
        <v>212</v>
      </c>
      <c r="L348" s="204"/>
      <c r="M348" s="205"/>
      <c r="N348" s="205"/>
      <c r="O348" s="140" t="s">
        <v>1298</v>
      </c>
      <c r="P348" s="144" t="str">
        <f>IF(LEFT(B348,5)="09735",
    IF(ISNA(VLOOKUP(Tabla1313[[#This Row],[Apoyo]],'LM SAP'!A:G,1,FALSE)),
        "No Disponible",
        IF(VLOOKUP(Tabla1313[[#This Row],[Apoyo]],'LM SAP'!A:AD,9,FALSE)="RR",
            "Disponible",
            "Firmas SAP"
        )
    ),
    "CONSULTAR"
)</f>
        <v>No Disponible</v>
      </c>
      <c r="Q348" s="63" t="str">
        <f>MID(Tabla1313[[#This Row],[Código Indra]],1,13)</f>
        <v>0973544200621</v>
      </c>
      <c r="R348" t="s">
        <v>255</v>
      </c>
      <c r="S348" s="65" t="str">
        <f>IF(ISNA(VLOOKUP(Tabla1313[[#This Row],[Código Indra]],#REF!,1,FALSE)),"NO", "SI")</f>
        <v>SI</v>
      </c>
      <c r="T348" s="145"/>
      <c r="U348" t="s">
        <v>256</v>
      </c>
      <c r="V348" t="e">
        <f>VLOOKUP(Tabla1313[[#This Row],[Apoyo]],'LM SAP'!A:I,9,FALSE)</f>
        <v>#N/A</v>
      </c>
      <c r="W348" s="110" t="e">
        <f>VLOOKUP(Tabla1313[[#This Row],[Código Indra]],#REF!,1,FALSE)</f>
        <v>#REF!</v>
      </c>
    </row>
    <row r="349" spans="1:23" s="114" customFormat="1" ht="30" x14ac:dyDescent="0.25">
      <c r="A349" s="64">
        <v>536</v>
      </c>
      <c r="B349" s="61" t="s">
        <v>1311</v>
      </c>
      <c r="C349" s="76" t="s">
        <v>1312</v>
      </c>
      <c r="D349" s="64" t="s">
        <v>1269</v>
      </c>
      <c r="E349" s="76" t="s">
        <v>1313</v>
      </c>
      <c r="F349" s="64">
        <v>1</v>
      </c>
      <c r="G349" s="61" t="s">
        <v>234</v>
      </c>
      <c r="H349" s="61" t="s">
        <v>250</v>
      </c>
      <c r="I349" s="64" t="s">
        <v>276</v>
      </c>
      <c r="J349" s="64"/>
      <c r="K349" s="213" t="s">
        <v>215</v>
      </c>
      <c r="L349" s="222">
        <v>60005124</v>
      </c>
      <c r="M349" s="223">
        <v>45617</v>
      </c>
      <c r="N349" s="192"/>
      <c r="O349" s="264" t="s">
        <v>595</v>
      </c>
      <c r="P349" s="103" t="str">
        <f>IF(LEFT(B349,5)="09735",
    IF(ISNA(VLOOKUP(Tabla1313[[#This Row],[Apoyo]],'LM SAP'!A:G,1,FALSE)),
        "No Disponible",
        IF(VLOOKUP(Tabla1313[[#This Row],[Apoyo]],'LM SAP'!A:AD,9,FALSE)="RR",
            "Disponible",
            "Firmas SAP"
        )
    ),
    "CONSULTAR"
)</f>
        <v>No Disponible</v>
      </c>
      <c r="Q349" s="65" t="str">
        <f>MID(Tabla1313[[#This Row],[Código Indra]],1,13)</f>
        <v>0973544190500</v>
      </c>
      <c r="R349" t="s">
        <v>255</v>
      </c>
      <c r="S349" s="65" t="str">
        <f>IF(ISNA(VLOOKUP(Tabla1313[[#This Row],[Código Indra]],#REF!,1,FALSE)),"NO", "SI")</f>
        <v>SI</v>
      </c>
      <c r="T349" s="92"/>
      <c r="U349" t="s">
        <v>256</v>
      </c>
      <c r="V349" s="114" t="e">
        <f>VLOOKUP(Tabla1313[[#This Row],[Apoyo]],'LM SAP'!A:I,9,FALSE)</f>
        <v>#N/A</v>
      </c>
      <c r="W349" s="114" t="e">
        <f>VLOOKUP(Tabla1313[[#This Row],[Código Indra]],#REF!,1,FALSE)</f>
        <v>#REF!</v>
      </c>
    </row>
    <row r="350" spans="1:23" ht="30" x14ac:dyDescent="0.25">
      <c r="A350" s="64">
        <v>538</v>
      </c>
      <c r="B350" s="64" t="s">
        <v>95</v>
      </c>
      <c r="C350" s="75" t="s">
        <v>96</v>
      </c>
      <c r="D350" s="64"/>
      <c r="E350" s="75" t="s">
        <v>1314</v>
      </c>
      <c r="F350" s="64">
        <v>1</v>
      </c>
      <c r="G350" s="61" t="s">
        <v>260</v>
      </c>
      <c r="H350" s="61" t="s">
        <v>261</v>
      </c>
      <c r="I350" s="61" t="s">
        <v>321</v>
      </c>
      <c r="J350" s="64"/>
      <c r="K350" s="213" t="s">
        <v>212</v>
      </c>
      <c r="L350" s="191"/>
      <c r="M350" s="192"/>
      <c r="N350" s="192"/>
      <c r="O350" s="104"/>
      <c r="P350" s="103" t="str">
        <f>IF(LEFT(B350,5)="09735",
    IF(ISNA(VLOOKUP(Tabla1313[[#This Row],[Apoyo]],'LM SAP'!A:G,1,FALSE)),
        "No Disponible",
        IF(VLOOKUP(Tabla1313[[#This Row],[Apoyo]],'LM SAP'!A:AD,9,FALSE)="RR",
            "Disponible",
            "Firmas SAP"
        )
    ),
    "CONSULTAR"
)</f>
        <v>No Disponible</v>
      </c>
      <c r="Q350" s="65" t="str">
        <f>MID(Tabla1313[[#This Row],[Código Indra]],1,13)</f>
        <v>0973524212100</v>
      </c>
      <c r="R350" t="s">
        <v>255</v>
      </c>
      <c r="S350" s="65" t="str">
        <f>IF(ISNA(VLOOKUP(Tabla1313[[#This Row],[Código Indra]],#REF!,1,FALSE)),"NO", "SI")</f>
        <v>SI</v>
      </c>
      <c r="T350" s="92"/>
      <c r="U350" t="s">
        <v>227</v>
      </c>
      <c r="V350" t="e">
        <f>VLOOKUP(Tabla1313[[#This Row],[Apoyo]],'LM SAP'!A:I,9,FALSE)</f>
        <v>#N/A</v>
      </c>
      <c r="W350" t="e">
        <f>VLOOKUP(Tabla1313[[#This Row],[Código Indra]],#REF!,1,FALSE)</f>
        <v>#REF!</v>
      </c>
    </row>
    <row r="351" spans="1:23" x14ac:dyDescent="0.25">
      <c r="A351" s="64">
        <v>539</v>
      </c>
      <c r="B351" s="61" t="s">
        <v>197</v>
      </c>
      <c r="C351" s="76" t="s">
        <v>198</v>
      </c>
      <c r="D351" s="64"/>
      <c r="E351" s="76" t="s">
        <v>700</v>
      </c>
      <c r="F351" s="64">
        <v>1</v>
      </c>
      <c r="G351" s="61" t="s">
        <v>260</v>
      </c>
      <c r="H351" s="61" t="s">
        <v>261</v>
      </c>
      <c r="I351" s="64" t="s">
        <v>669</v>
      </c>
      <c r="J351" s="64"/>
      <c r="K351" s="213" t="s">
        <v>213</v>
      </c>
      <c r="L351" s="191"/>
      <c r="M351" s="192"/>
      <c r="N351" s="192"/>
      <c r="O351" s="104"/>
      <c r="P351" s="103" t="str">
        <f>IF(LEFT(B351,5)="09735",
    IF(ISNA(VLOOKUP(Tabla1313[[#This Row],[Apoyo]],'LM SAP'!A:G,1,FALSE)),
        "No Disponible",
        IF(VLOOKUP(Tabla1313[[#This Row],[Apoyo]],'LM SAP'!A:AD,9,FALSE)="RR",
            "Disponible",
            "Firmas SAP"
        )
    ),
    "CONSULTAR"
)</f>
        <v>No Disponible</v>
      </c>
      <c r="Q351" s="65" t="str">
        <f>MID(Tabla1313[[#This Row],[Código Indra]],1,13)</f>
        <v>0973524290000</v>
      </c>
      <c r="R351" t="s">
        <v>255</v>
      </c>
      <c r="S351" s="65" t="str">
        <f>IF(ISNA(VLOOKUP(Tabla1313[[#This Row],[Código Indra]],#REF!,1,FALSE)),"NO", "SI")</f>
        <v>SI</v>
      </c>
      <c r="T351" s="92"/>
      <c r="U351" t="s">
        <v>227</v>
      </c>
      <c r="V351" t="e">
        <f>VLOOKUP(Tabla1313[[#This Row],[Apoyo]],'LM SAP'!A:I,9,FALSE)</f>
        <v>#N/A</v>
      </c>
      <c r="W351" t="e">
        <f>VLOOKUP(Tabla1313[[#This Row],[Código Indra]],#REF!,1,FALSE)</f>
        <v>#REF!</v>
      </c>
    </row>
    <row r="352" spans="1:23" ht="30" x14ac:dyDescent="0.25">
      <c r="A352" s="64">
        <v>540</v>
      </c>
      <c r="B352" s="64" t="s">
        <v>103</v>
      </c>
      <c r="C352" s="75" t="s">
        <v>1315</v>
      </c>
      <c r="D352" s="64"/>
      <c r="E352" s="75" t="s">
        <v>1316</v>
      </c>
      <c r="F352" s="64">
        <v>1</v>
      </c>
      <c r="G352" s="61" t="s">
        <v>234</v>
      </c>
      <c r="H352" s="64"/>
      <c r="I352" s="61" t="s">
        <v>276</v>
      </c>
      <c r="J352" s="64"/>
      <c r="K352" s="213" t="s">
        <v>212</v>
      </c>
      <c r="L352" s="191"/>
      <c r="M352" s="192"/>
      <c r="N352" s="192"/>
      <c r="O352" s="104"/>
      <c r="P352" s="103" t="str">
        <f>IF(LEFT(B352,5)="09735",
    IF(ISNA(VLOOKUP(Tabla1313[[#This Row],[Apoyo]],'LM SAP'!A:G,1,FALSE)),
        "No Disponible",
        IF(VLOOKUP(Tabla1313[[#This Row],[Apoyo]],'LM SAP'!A:AD,9,FALSE)="RR",
            "Disponible",
            "Firmas SAP"
        )
    ),
    "CONSULTAR"
)</f>
        <v>No Disponible</v>
      </c>
      <c r="Q352" s="65" t="str">
        <f>MID(Tabla1313[[#This Row],[Código Indra]],1,13)</f>
        <v>0973525170100</v>
      </c>
      <c r="R352" t="s">
        <v>255</v>
      </c>
      <c r="S352" s="65" t="str">
        <f>IF(ISNA(VLOOKUP(Tabla1313[[#This Row],[Código Indra]],#REF!,1,FALSE)),"NO", "SI")</f>
        <v>SI</v>
      </c>
      <c r="T352" s="92"/>
      <c r="U352" t="s">
        <v>255</v>
      </c>
      <c r="V352" t="e">
        <f>VLOOKUP(Tabla1313[[#This Row],[Apoyo]],'LM SAP'!A:I,9,FALSE)</f>
        <v>#N/A</v>
      </c>
      <c r="W352" t="e">
        <f>VLOOKUP(Tabla1313[[#This Row],[Código Indra]],#REF!,1,FALSE)</f>
        <v>#REF!</v>
      </c>
    </row>
    <row r="353" spans="1:23" x14ac:dyDescent="0.25">
      <c r="A353" s="64">
        <v>541</v>
      </c>
      <c r="B353" s="61" t="s">
        <v>1317</v>
      </c>
      <c r="C353" s="76" t="s">
        <v>170</v>
      </c>
      <c r="D353" s="64" t="s">
        <v>173</v>
      </c>
      <c r="E353" s="76" t="s">
        <v>1318</v>
      </c>
      <c r="F353" s="64">
        <v>1</v>
      </c>
      <c r="G353" s="61" t="s">
        <v>260</v>
      </c>
      <c r="H353" s="61" t="s">
        <v>261</v>
      </c>
      <c r="I353" s="64" t="s">
        <v>251</v>
      </c>
      <c r="J353" s="64"/>
      <c r="K353" s="213" t="s">
        <v>213</v>
      </c>
      <c r="L353" s="191"/>
      <c r="M353" s="192"/>
      <c r="N353" s="192"/>
      <c r="O353" s="104"/>
      <c r="P353" s="103" t="str">
        <f>IF(LEFT(B353,5)="09735",
    IF(ISNA(VLOOKUP(Tabla1313[[#This Row],[Apoyo]],'LM SAP'!A:G,1,FALSE)),
        "No Disponible",
        IF(VLOOKUP(Tabla1313[[#This Row],[Apoyo]],'LM SAP'!A:AD,9,FALSE)="RR",
            "Disponible",
            "Firmas SAP"
        )
    ),
    "CONSULTAR"
)</f>
        <v>No Disponible</v>
      </c>
      <c r="Q353" s="65" t="str">
        <f>MID(Tabla1313[[#This Row],[Código Indra]],1,13)</f>
        <v>0973545037000</v>
      </c>
      <c r="R353" t="s">
        <v>255</v>
      </c>
      <c r="S353" s="65" t="str">
        <f>IF(ISNA(VLOOKUP(Tabla1313[[#This Row],[Código Indra]],#REF!,1,FALSE)),"NO", "SI")</f>
        <v>SI</v>
      </c>
      <c r="T353" s="92"/>
      <c r="U353" t="s">
        <v>256</v>
      </c>
      <c r="V353" t="e">
        <f>VLOOKUP(Tabla1313[[#This Row],[Apoyo]],'LM SAP'!A:I,9,FALSE)</f>
        <v>#N/A</v>
      </c>
      <c r="W353" t="e">
        <f>VLOOKUP(Tabla1313[[#This Row],[Código Indra]],#REF!,1,FALSE)</f>
        <v>#REF!</v>
      </c>
    </row>
    <row r="354" spans="1:23" ht="30" x14ac:dyDescent="0.25">
      <c r="A354" s="161">
        <v>542</v>
      </c>
      <c r="B354" s="64" t="s">
        <v>1319</v>
      </c>
      <c r="C354" s="75" t="s">
        <v>1320</v>
      </c>
      <c r="D354" s="61" t="s">
        <v>1269</v>
      </c>
      <c r="E354" s="75" t="s">
        <v>1321</v>
      </c>
      <c r="F354" s="64">
        <v>1</v>
      </c>
      <c r="G354" s="61" t="s">
        <v>234</v>
      </c>
      <c r="H354" s="61" t="s">
        <v>250</v>
      </c>
      <c r="I354" s="61" t="s">
        <v>276</v>
      </c>
      <c r="J354" s="64"/>
      <c r="K354" s="213" t="s">
        <v>221</v>
      </c>
      <c r="L354" s="191">
        <v>60005229</v>
      </c>
      <c r="M354" s="192">
        <v>45622</v>
      </c>
      <c r="N354" s="192">
        <v>45628</v>
      </c>
      <c r="O354" s="149" t="s">
        <v>281</v>
      </c>
      <c r="P354" s="103" t="str">
        <f>IF(LEFT(B354,5)="09735",
    IF(ISNA(VLOOKUP(Tabla1313[[#This Row],[Apoyo]],'LM SAP'!A:G,1,FALSE)),
        "No Disponible",
        IF(VLOOKUP(Tabla1313[[#This Row],[Apoyo]],'LM SAP'!A:AD,9,FALSE)="RR",
            "Disponible",
            "Firmas SAP"
        )
    ),
    "CONSULTAR"
)</f>
        <v>Disponible</v>
      </c>
      <c r="Q354" s="65" t="str">
        <f>MID(Tabla1313[[#This Row],[Código Indra]],1,13)</f>
        <v>0973544190600</v>
      </c>
      <c r="R354" t="s">
        <v>255</v>
      </c>
      <c r="S354" s="65" t="str">
        <f>IF(ISNA(VLOOKUP(Tabla1313[[#This Row],[Código Indra]],#REF!,1,FALSE)),"NO", "SI")</f>
        <v>SI</v>
      </c>
      <c r="T354" s="92"/>
      <c r="U354" t="s">
        <v>256</v>
      </c>
      <c r="V354" t="str">
        <f>VLOOKUP(Tabla1313[[#This Row],[Apoyo]],'LM SAP'!A:I,9,FALSE)</f>
        <v>RR</v>
      </c>
      <c r="W354" t="e">
        <f>VLOOKUP(Tabla1313[[#This Row],[Código Indra]],#REF!,1,FALSE)</f>
        <v>#REF!</v>
      </c>
    </row>
    <row r="355" spans="1:23" ht="30" x14ac:dyDescent="0.25">
      <c r="A355" s="64">
        <v>543</v>
      </c>
      <c r="B355" s="61" t="s">
        <v>1322</v>
      </c>
      <c r="C355" s="76" t="s">
        <v>1323</v>
      </c>
      <c r="D355" s="64" t="s">
        <v>61</v>
      </c>
      <c r="E355" s="76" t="s">
        <v>1324</v>
      </c>
      <c r="F355" s="64">
        <v>1</v>
      </c>
      <c r="G355" s="61" t="s">
        <v>260</v>
      </c>
      <c r="H355" s="61" t="s">
        <v>261</v>
      </c>
      <c r="I355" s="64" t="s">
        <v>276</v>
      </c>
      <c r="J355" s="64"/>
      <c r="K355" s="213" t="s">
        <v>215</v>
      </c>
      <c r="L355" s="222">
        <v>60005125</v>
      </c>
      <c r="M355" s="223">
        <v>45617</v>
      </c>
      <c r="N355" s="192"/>
      <c r="O355" s="148" t="s">
        <v>1325</v>
      </c>
      <c r="P355" s="103" t="str">
        <f>IF(LEFT(B355,5)="09735",
    IF(ISNA(VLOOKUP(Tabla1313[[#This Row],[Apoyo]],'LM SAP'!A:G,1,FALSE)),
        "No Disponible",
        IF(VLOOKUP(Tabla1313[[#This Row],[Apoyo]],'LM SAP'!A:AD,9,FALSE)="RR",
            "Disponible",
            "Firmas SAP"
        )
    ),
    "CONSULTAR"
)</f>
        <v>No Disponible</v>
      </c>
      <c r="Q355" s="65" t="str">
        <f>MID(Tabla1313[[#This Row],[Código Indra]],1,13)</f>
        <v>0973544200200</v>
      </c>
      <c r="R355" t="s">
        <v>255</v>
      </c>
      <c r="S355" s="65" t="str">
        <f>IF(ISNA(VLOOKUP(Tabla1313[[#This Row],[Código Indra]],#REF!,1,FALSE)),"NO", "SI")</f>
        <v>SI</v>
      </c>
      <c r="T355" s="92"/>
      <c r="U355" t="s">
        <v>256</v>
      </c>
      <c r="V355" t="e">
        <f>VLOOKUP(Tabla1313[[#This Row],[Apoyo]],'LM SAP'!A:I,9,FALSE)</f>
        <v>#N/A</v>
      </c>
      <c r="W355" t="e">
        <f>VLOOKUP(Tabla1313[[#This Row],[Código Indra]],#REF!,1,FALSE)</f>
        <v>#REF!</v>
      </c>
    </row>
    <row r="356" spans="1:23" ht="30" x14ac:dyDescent="0.25">
      <c r="A356" s="64">
        <v>544</v>
      </c>
      <c r="B356" s="64" t="s">
        <v>1326</v>
      </c>
      <c r="C356" s="75" t="s">
        <v>1327</v>
      </c>
      <c r="D356" s="61" t="s">
        <v>61</v>
      </c>
      <c r="E356" s="75" t="s">
        <v>1328</v>
      </c>
      <c r="F356" s="64">
        <v>1</v>
      </c>
      <c r="G356" s="61" t="s">
        <v>260</v>
      </c>
      <c r="H356" s="61" t="s">
        <v>261</v>
      </c>
      <c r="I356" s="61" t="s">
        <v>276</v>
      </c>
      <c r="J356" s="64"/>
      <c r="K356" s="213" t="s">
        <v>215</v>
      </c>
      <c r="L356" s="191">
        <v>60004986</v>
      </c>
      <c r="M356" s="192">
        <v>45611</v>
      </c>
      <c r="N356" s="192"/>
      <c r="O356" s="148" t="s">
        <v>1329</v>
      </c>
      <c r="P356" s="103" t="str">
        <f>IF(LEFT(B356,5)="09735",
    IF(ISNA(VLOOKUP(Tabla1313[[#This Row],[Apoyo]],'LM SAP'!A:G,1,FALSE)),
        "No Disponible",
        IF(VLOOKUP(Tabla1313[[#This Row],[Apoyo]],'LM SAP'!A:AD,9,FALSE)="RR",
            "Disponible",
            "Firmas SAP"
        )
    ),
    "CONSULTAR"
)</f>
        <v>CONSULTAR</v>
      </c>
      <c r="Q356" s="65" t="str">
        <f>MID(Tabla1313[[#This Row],[Código Indra]],1,13)</f>
        <v>0972844204506</v>
      </c>
      <c r="R356" t="s">
        <v>255</v>
      </c>
      <c r="S356" s="65" t="str">
        <f>IF(ISNA(VLOOKUP(Tabla1313[[#This Row],[Código Indra]],#REF!,1,FALSE)),"NO", "SI")</f>
        <v>SI</v>
      </c>
      <c r="T356" s="92"/>
      <c r="U356" t="s">
        <v>256</v>
      </c>
      <c r="V356" t="e">
        <f>VLOOKUP(Tabla1313[[#This Row],[Apoyo]],'LM SAP'!A:I,9,FALSE)</f>
        <v>#N/A</v>
      </c>
      <c r="W356" t="e">
        <f>VLOOKUP(Tabla1313[[#This Row],[Código Indra]],#REF!,1,FALSE)</f>
        <v>#REF!</v>
      </c>
    </row>
    <row r="357" spans="1:23" s="110" customFormat="1" ht="42.75" x14ac:dyDescent="0.25">
      <c r="A357" s="137">
        <v>545</v>
      </c>
      <c r="B357" s="139" t="s">
        <v>1330</v>
      </c>
      <c r="C357" s="143" t="s">
        <v>1331</v>
      </c>
      <c r="D357" s="137" t="s">
        <v>1296</v>
      </c>
      <c r="E357" s="143" t="s">
        <v>1332</v>
      </c>
      <c r="F357" s="137">
        <v>1</v>
      </c>
      <c r="G357" s="139" t="s">
        <v>234</v>
      </c>
      <c r="H357" s="137"/>
      <c r="I357" s="137" t="s">
        <v>251</v>
      </c>
      <c r="J357" s="137"/>
      <c r="K357" s="272" t="s">
        <v>212</v>
      </c>
      <c r="L357" s="204"/>
      <c r="M357" s="205"/>
      <c r="N357" s="205"/>
      <c r="O357" s="140" t="s">
        <v>1298</v>
      </c>
      <c r="P357" s="141" t="str">
        <f>IF(LEFT(B357,5)="09735",
    IF(ISNA(VLOOKUP(Tabla1313[[#This Row],[Apoyo]],'LM SAP'!A:G,1,FALSE)),
        "No Disponible",
        IF(VLOOKUP(Tabla1313[[#This Row],[Apoyo]],'LM SAP'!A:AD,9,FALSE)="RR",
            "Disponible",
            "Firmas SAP"
        )
    ),
    "CONSULTAR"
)</f>
        <v>Disponible</v>
      </c>
      <c r="Q357" s="63" t="str">
        <f>MID(Tabla1313[[#This Row],[Código Indra]],1,13)</f>
        <v>0973544200601</v>
      </c>
      <c r="R357" t="s">
        <v>255</v>
      </c>
      <c r="S357" s="63" t="str">
        <f>IF(ISNA(VLOOKUP(Tabla1313[[#This Row],[Código Indra]],#REF!,1,FALSE)),"NO", "SI")</f>
        <v>SI</v>
      </c>
      <c r="T357" s="142"/>
      <c r="U357" t="s">
        <v>256</v>
      </c>
      <c r="V357" t="str">
        <f>VLOOKUP(Tabla1313[[#This Row],[Apoyo]],'LM SAP'!A:I,9,FALSE)</f>
        <v>RR</v>
      </c>
      <c r="W357" s="110" t="e">
        <f>VLOOKUP(Tabla1313[[#This Row],[Código Indra]],#REF!,1,FALSE)</f>
        <v>#REF!</v>
      </c>
    </row>
    <row r="358" spans="1:23" s="110" customFormat="1" ht="28.5" x14ac:dyDescent="0.25">
      <c r="A358" s="137">
        <v>546</v>
      </c>
      <c r="B358" s="137" t="s">
        <v>1333</v>
      </c>
      <c r="C358" s="138" t="s">
        <v>1334</v>
      </c>
      <c r="D358" s="139" t="s">
        <v>1296</v>
      </c>
      <c r="E358" s="138" t="s">
        <v>1335</v>
      </c>
      <c r="F358" s="137">
        <v>1</v>
      </c>
      <c r="G358" s="139" t="s">
        <v>234</v>
      </c>
      <c r="H358" s="137"/>
      <c r="I358" s="139" t="s">
        <v>251</v>
      </c>
      <c r="J358" s="137"/>
      <c r="K358" s="272" t="s">
        <v>212</v>
      </c>
      <c r="L358" s="204"/>
      <c r="M358" s="205"/>
      <c r="N358" s="205"/>
      <c r="O358" s="140" t="s">
        <v>1298</v>
      </c>
      <c r="P358" s="141" t="str">
        <f>IF(LEFT(B358,5)="09735",
    IF(ISNA(VLOOKUP(Tabla1313[[#This Row],[Apoyo]],'LM SAP'!A:G,1,FALSE)),
        "No Disponible",
        IF(VLOOKUP(Tabla1313[[#This Row],[Apoyo]],'LM SAP'!A:AD,9,FALSE)="RR",
            "Disponible",
            "Firmas SAP"
        )
    ),
    "CONSULTAR"
)</f>
        <v>Disponible</v>
      </c>
      <c r="Q358" s="63" t="str">
        <f>MID(Tabla1313[[#This Row],[Código Indra]],1,13)</f>
        <v>0973544200602</v>
      </c>
      <c r="R358" t="s">
        <v>255</v>
      </c>
      <c r="S358" s="63" t="str">
        <f>IF(ISNA(VLOOKUP(Tabla1313[[#This Row],[Código Indra]],#REF!,1,FALSE)),"NO", "SI")</f>
        <v>SI</v>
      </c>
      <c r="T358" s="142"/>
      <c r="U358" t="s">
        <v>256</v>
      </c>
      <c r="V358" t="str">
        <f>VLOOKUP(Tabla1313[[#This Row],[Apoyo]],'LM SAP'!A:I,9,FALSE)</f>
        <v>RR</v>
      </c>
      <c r="W358" s="110" t="e">
        <f>VLOOKUP(Tabla1313[[#This Row],[Código Indra]],#REF!,1,FALSE)</f>
        <v>#REF!</v>
      </c>
    </row>
    <row r="359" spans="1:23" s="110" customFormat="1" ht="28.5" x14ac:dyDescent="0.25">
      <c r="A359" s="137">
        <v>547</v>
      </c>
      <c r="B359" s="139" t="s">
        <v>1336</v>
      </c>
      <c r="C359" s="143" t="s">
        <v>1337</v>
      </c>
      <c r="D359" s="137" t="s">
        <v>1296</v>
      </c>
      <c r="E359" s="143" t="s">
        <v>1335</v>
      </c>
      <c r="F359" s="137">
        <v>1</v>
      </c>
      <c r="G359" s="139" t="s">
        <v>234</v>
      </c>
      <c r="H359" s="137"/>
      <c r="I359" s="137" t="s">
        <v>251</v>
      </c>
      <c r="J359" s="137"/>
      <c r="K359" s="272" t="s">
        <v>212</v>
      </c>
      <c r="L359" s="204"/>
      <c r="M359" s="205"/>
      <c r="N359" s="205"/>
      <c r="O359" s="140" t="s">
        <v>1298</v>
      </c>
      <c r="P359" s="141" t="str">
        <f>IF(LEFT(B359,5)="09735",
    IF(ISNA(VLOOKUP(Tabla1313[[#This Row],[Apoyo]],'LM SAP'!A:G,1,FALSE)),
        "No Disponible",
        IF(VLOOKUP(Tabla1313[[#This Row],[Apoyo]],'LM SAP'!A:AD,9,FALSE)="RR",
            "Disponible",
            "Firmas SAP"
        )
    ),
    "CONSULTAR"
)</f>
        <v>Disponible</v>
      </c>
      <c r="Q359" s="63" t="str">
        <f>MID(Tabla1313[[#This Row],[Código Indra]],1,13)</f>
        <v>0973544200603</v>
      </c>
      <c r="R359" t="s">
        <v>255</v>
      </c>
      <c r="S359" s="63" t="str">
        <f>IF(ISNA(VLOOKUP(Tabla1313[[#This Row],[Código Indra]],#REF!,1,FALSE)),"NO", "SI")</f>
        <v>SI</v>
      </c>
      <c r="T359" s="142"/>
      <c r="U359" t="s">
        <v>256</v>
      </c>
      <c r="V359" t="str">
        <f>VLOOKUP(Tabla1313[[#This Row],[Apoyo]],'LM SAP'!A:I,9,FALSE)</f>
        <v>RR</v>
      </c>
      <c r="W359" s="110" t="e">
        <f>VLOOKUP(Tabla1313[[#This Row],[Código Indra]],#REF!,1,FALSE)</f>
        <v>#REF!</v>
      </c>
    </row>
    <row r="360" spans="1:23" s="110" customFormat="1" ht="28.5" x14ac:dyDescent="0.25">
      <c r="A360" s="137">
        <v>548</v>
      </c>
      <c r="B360" s="137" t="s">
        <v>1338</v>
      </c>
      <c r="C360" s="138" t="s">
        <v>1339</v>
      </c>
      <c r="D360" s="139" t="s">
        <v>1296</v>
      </c>
      <c r="E360" s="138" t="s">
        <v>1335</v>
      </c>
      <c r="F360" s="137">
        <v>1</v>
      </c>
      <c r="G360" s="139" t="s">
        <v>234</v>
      </c>
      <c r="H360" s="137"/>
      <c r="I360" s="139" t="s">
        <v>251</v>
      </c>
      <c r="J360" s="137"/>
      <c r="K360" s="272" t="s">
        <v>212</v>
      </c>
      <c r="L360" s="204"/>
      <c r="M360" s="205"/>
      <c r="N360" s="205"/>
      <c r="O360" s="140" t="s">
        <v>1298</v>
      </c>
      <c r="P360" s="141" t="str">
        <f>IF(LEFT(B360,5)="09735",
    IF(ISNA(VLOOKUP(Tabla1313[[#This Row],[Apoyo]],'LM SAP'!A:G,1,FALSE)),
        "No Disponible",
        IF(VLOOKUP(Tabla1313[[#This Row],[Apoyo]],'LM SAP'!A:AD,9,FALSE)="RR",
            "Disponible",
            "Firmas SAP"
        )
    ),
    "CONSULTAR"
)</f>
        <v>Disponible</v>
      </c>
      <c r="Q360" s="63" t="str">
        <f>MID(Tabla1313[[#This Row],[Código Indra]],1,13)</f>
        <v>0973544200604</v>
      </c>
      <c r="R360" t="s">
        <v>255</v>
      </c>
      <c r="S360" s="63" t="str">
        <f>IF(ISNA(VLOOKUP(Tabla1313[[#This Row],[Código Indra]],#REF!,1,FALSE)),"NO", "SI")</f>
        <v>SI</v>
      </c>
      <c r="T360" s="142"/>
      <c r="U360" t="s">
        <v>256</v>
      </c>
      <c r="V360" t="str">
        <f>VLOOKUP(Tabla1313[[#This Row],[Apoyo]],'LM SAP'!A:I,9,FALSE)</f>
        <v>RR</v>
      </c>
      <c r="W360" s="110" t="e">
        <f>VLOOKUP(Tabla1313[[#This Row],[Código Indra]],#REF!,1,FALSE)</f>
        <v>#REF!</v>
      </c>
    </row>
    <row r="361" spans="1:23" s="110" customFormat="1" ht="28.5" x14ac:dyDescent="0.25">
      <c r="A361" s="137">
        <v>549</v>
      </c>
      <c r="B361" s="139" t="s">
        <v>1340</v>
      </c>
      <c r="C361" s="143" t="s">
        <v>1341</v>
      </c>
      <c r="D361" s="137" t="s">
        <v>1296</v>
      </c>
      <c r="E361" s="143" t="s">
        <v>1335</v>
      </c>
      <c r="F361" s="137">
        <v>1</v>
      </c>
      <c r="G361" s="139" t="s">
        <v>260</v>
      </c>
      <c r="H361" s="139" t="s">
        <v>261</v>
      </c>
      <c r="I361" s="137" t="s">
        <v>251</v>
      </c>
      <c r="J361" s="137"/>
      <c r="K361" s="272" t="s">
        <v>212</v>
      </c>
      <c r="L361" s="204"/>
      <c r="M361" s="205"/>
      <c r="N361" s="205"/>
      <c r="O361" s="140" t="s">
        <v>1298</v>
      </c>
      <c r="P361" s="144" t="str">
        <f>IF(LEFT(B361,5)="09735",
    IF(ISNA(VLOOKUP(Tabla1313[[#This Row],[Apoyo]],'LM SAP'!A:G,1,FALSE)),
        "No Disponible",
        IF(VLOOKUP(Tabla1313[[#This Row],[Apoyo]],'LM SAP'!A:AD,9,FALSE)="RR",
            "Disponible",
            "Firmas SAP"
        )
    ),
    "CONSULTAR"
)</f>
        <v>Disponible</v>
      </c>
      <c r="Q361" s="65" t="str">
        <f>MID(Tabla1313[[#This Row],[Código Indra]],1,13)</f>
        <v>0973544200605</v>
      </c>
      <c r="R361" t="s">
        <v>255</v>
      </c>
      <c r="S361" s="65" t="str">
        <f>IF(ISNA(VLOOKUP(Tabla1313[[#This Row],[Código Indra]],#REF!,1,FALSE)),"NO", "SI")</f>
        <v>SI</v>
      </c>
      <c r="T361" s="145"/>
      <c r="U361" t="s">
        <v>256</v>
      </c>
      <c r="V361" t="str">
        <f>VLOOKUP(Tabla1313[[#This Row],[Apoyo]],'LM SAP'!A:I,9,FALSE)</f>
        <v>RR</v>
      </c>
      <c r="W361" s="110" t="e">
        <f>VLOOKUP(Tabla1313[[#This Row],[Código Indra]],#REF!,1,FALSE)</f>
        <v>#REF!</v>
      </c>
    </row>
    <row r="362" spans="1:23" s="110" customFormat="1" ht="28.5" x14ac:dyDescent="0.25">
      <c r="A362" s="137">
        <v>550</v>
      </c>
      <c r="B362" s="137" t="s">
        <v>1342</v>
      </c>
      <c r="C362" s="138" t="s">
        <v>1343</v>
      </c>
      <c r="D362" s="139" t="s">
        <v>1296</v>
      </c>
      <c r="E362" s="138" t="s">
        <v>1335</v>
      </c>
      <c r="F362" s="137">
        <v>1</v>
      </c>
      <c r="G362" s="139" t="s">
        <v>234</v>
      </c>
      <c r="H362" s="137"/>
      <c r="I362" s="139" t="s">
        <v>251</v>
      </c>
      <c r="J362" s="137"/>
      <c r="K362" s="272" t="s">
        <v>212</v>
      </c>
      <c r="L362" s="204"/>
      <c r="M362" s="205"/>
      <c r="N362" s="205"/>
      <c r="O362" s="140" t="s">
        <v>1298</v>
      </c>
      <c r="P362" s="141" t="str">
        <f>IF(LEFT(B362,5)="09735",
    IF(ISNA(VLOOKUP(Tabla1313[[#This Row],[Apoyo]],'LM SAP'!A:G,1,FALSE)),
        "No Disponible",
        IF(VLOOKUP(Tabla1313[[#This Row],[Apoyo]],'LM SAP'!A:AD,9,FALSE)="RR",
            "Disponible",
            "Firmas SAP"
        )
    ),
    "CONSULTAR"
)</f>
        <v>No Disponible</v>
      </c>
      <c r="Q362" s="63" t="str">
        <f>MID(Tabla1313[[#This Row],[Código Indra]],1,13)</f>
        <v>0973544200606</v>
      </c>
      <c r="R362" t="s">
        <v>255</v>
      </c>
      <c r="S362" s="63" t="str">
        <f>IF(ISNA(VLOOKUP(Tabla1313[[#This Row],[Código Indra]],#REF!,1,FALSE)),"NO", "SI")</f>
        <v>SI</v>
      </c>
      <c r="T362" s="142"/>
      <c r="U362" t="s">
        <v>256</v>
      </c>
      <c r="V362" t="e">
        <f>VLOOKUP(Tabla1313[[#This Row],[Apoyo]],'LM SAP'!A:I,9,FALSE)</f>
        <v>#N/A</v>
      </c>
      <c r="W362" s="110" t="e">
        <f>VLOOKUP(Tabla1313[[#This Row],[Código Indra]],#REF!,1,FALSE)</f>
        <v>#REF!</v>
      </c>
    </row>
    <row r="363" spans="1:23" s="110" customFormat="1" ht="28.5" x14ac:dyDescent="0.25">
      <c r="A363" s="137">
        <v>551</v>
      </c>
      <c r="B363" s="139" t="s">
        <v>1344</v>
      </c>
      <c r="C363" s="143" t="s">
        <v>1345</v>
      </c>
      <c r="D363" s="137" t="s">
        <v>1296</v>
      </c>
      <c r="E363" s="143" t="s">
        <v>1335</v>
      </c>
      <c r="F363" s="137">
        <v>1</v>
      </c>
      <c r="G363" s="139" t="s">
        <v>260</v>
      </c>
      <c r="H363" s="139" t="s">
        <v>261</v>
      </c>
      <c r="I363" s="137" t="s">
        <v>251</v>
      </c>
      <c r="J363" s="137"/>
      <c r="K363" s="272" t="s">
        <v>212</v>
      </c>
      <c r="L363" s="204"/>
      <c r="M363" s="205"/>
      <c r="N363" s="205"/>
      <c r="O363" s="140" t="s">
        <v>1298</v>
      </c>
      <c r="P363" s="141" t="str">
        <f>IF(LEFT(B363,5)="09735",
    IF(ISNA(VLOOKUP(Tabla1313[[#This Row],[Apoyo]],'LM SAP'!A:G,1,FALSE)),
        "No Disponible",
        IF(VLOOKUP(Tabla1313[[#This Row],[Apoyo]],'LM SAP'!A:AD,9,FALSE)="RR",
            "Disponible",
            "Firmas SAP"
        )
    ),
    "CONSULTAR"
)</f>
        <v>No Disponible</v>
      </c>
      <c r="Q363" s="63" t="str">
        <f>MID(Tabla1313[[#This Row],[Código Indra]],1,13)</f>
        <v>0973544200607</v>
      </c>
      <c r="R363" t="s">
        <v>255</v>
      </c>
      <c r="S363" s="63" t="str">
        <f>IF(ISNA(VLOOKUP(Tabla1313[[#This Row],[Código Indra]],#REF!,1,FALSE)),"NO", "SI")</f>
        <v>SI</v>
      </c>
      <c r="T363" s="142"/>
      <c r="U363" t="s">
        <v>256</v>
      </c>
      <c r="V363" t="e">
        <f>VLOOKUP(Tabla1313[[#This Row],[Apoyo]],'LM SAP'!A:I,9,FALSE)</f>
        <v>#N/A</v>
      </c>
      <c r="W363" s="110" t="e">
        <f>VLOOKUP(Tabla1313[[#This Row],[Código Indra]],#REF!,1,FALSE)</f>
        <v>#REF!</v>
      </c>
    </row>
    <row r="364" spans="1:23" s="110" customFormat="1" ht="28.5" x14ac:dyDescent="0.25">
      <c r="A364" s="137">
        <v>552</v>
      </c>
      <c r="B364" s="137" t="s">
        <v>1346</v>
      </c>
      <c r="C364" s="138" t="s">
        <v>1347</v>
      </c>
      <c r="D364" s="139" t="s">
        <v>1296</v>
      </c>
      <c r="E364" s="138" t="s">
        <v>1335</v>
      </c>
      <c r="F364" s="137">
        <v>1</v>
      </c>
      <c r="G364" s="139" t="s">
        <v>234</v>
      </c>
      <c r="H364" s="137"/>
      <c r="I364" s="139" t="s">
        <v>251</v>
      </c>
      <c r="J364" s="137"/>
      <c r="K364" s="272" t="s">
        <v>212</v>
      </c>
      <c r="L364" s="204"/>
      <c r="M364" s="205"/>
      <c r="N364" s="205"/>
      <c r="O364" s="140" t="s">
        <v>1298</v>
      </c>
      <c r="P364" s="141" t="str">
        <f>IF(LEFT(B364,5)="09735",
    IF(ISNA(VLOOKUP(Tabla1313[[#This Row],[Apoyo]],'LM SAP'!A:G,1,FALSE)),
        "No Disponible",
        IF(VLOOKUP(Tabla1313[[#This Row],[Apoyo]],'LM SAP'!A:AD,9,FALSE)="RR",
            "Disponible",
            "Firmas SAP"
        )
    ),
    "CONSULTAR"
)</f>
        <v>No Disponible</v>
      </c>
      <c r="Q364" s="63" t="str">
        <f>MID(Tabla1313[[#This Row],[Código Indra]],1,13)</f>
        <v>0973544200608</v>
      </c>
      <c r="R364" t="s">
        <v>255</v>
      </c>
      <c r="S364" s="63" t="str">
        <f>IF(ISNA(VLOOKUP(Tabla1313[[#This Row],[Código Indra]],#REF!,1,FALSE)),"NO", "SI")</f>
        <v>SI</v>
      </c>
      <c r="T364" s="142"/>
      <c r="U364" t="s">
        <v>256</v>
      </c>
      <c r="V364" t="e">
        <f>VLOOKUP(Tabla1313[[#This Row],[Apoyo]],'LM SAP'!A:I,9,FALSE)</f>
        <v>#N/A</v>
      </c>
      <c r="W364" s="110" t="e">
        <f>VLOOKUP(Tabla1313[[#This Row],[Código Indra]],#REF!,1,FALSE)</f>
        <v>#REF!</v>
      </c>
    </row>
    <row r="365" spans="1:23" s="110" customFormat="1" ht="28.5" x14ac:dyDescent="0.25">
      <c r="A365" s="137">
        <v>553</v>
      </c>
      <c r="B365" s="139" t="s">
        <v>1348</v>
      </c>
      <c r="C365" s="143" t="s">
        <v>1349</v>
      </c>
      <c r="D365" s="137" t="s">
        <v>1296</v>
      </c>
      <c r="E365" s="143" t="s">
        <v>1335</v>
      </c>
      <c r="F365" s="137">
        <v>1</v>
      </c>
      <c r="G365" s="139" t="s">
        <v>234</v>
      </c>
      <c r="H365" s="137"/>
      <c r="I365" s="137" t="s">
        <v>251</v>
      </c>
      <c r="J365" s="137"/>
      <c r="K365" s="272" t="s">
        <v>212</v>
      </c>
      <c r="L365" s="204"/>
      <c r="M365" s="205"/>
      <c r="N365" s="205"/>
      <c r="O365" s="140" t="s">
        <v>1298</v>
      </c>
      <c r="P365" s="141" t="str">
        <f>IF(LEFT(B365,5)="09735",
    IF(ISNA(VLOOKUP(Tabla1313[[#This Row],[Apoyo]],'LM SAP'!A:G,1,FALSE)),
        "No Disponible",
        IF(VLOOKUP(Tabla1313[[#This Row],[Apoyo]],'LM SAP'!A:AD,9,FALSE)="RR",
            "Disponible",
            "Firmas SAP"
        )
    ),
    "CONSULTAR"
)</f>
        <v>No Disponible</v>
      </c>
      <c r="Q365" s="63" t="str">
        <f>MID(Tabla1313[[#This Row],[Código Indra]],1,13)</f>
        <v>0973544200609</v>
      </c>
      <c r="R365" t="s">
        <v>255</v>
      </c>
      <c r="S365" s="63" t="str">
        <f>IF(ISNA(VLOOKUP(Tabla1313[[#This Row],[Código Indra]],#REF!,1,FALSE)),"NO", "SI")</f>
        <v>SI</v>
      </c>
      <c r="T365" s="142"/>
      <c r="U365" t="s">
        <v>256</v>
      </c>
      <c r="V365" t="e">
        <f>VLOOKUP(Tabla1313[[#This Row],[Apoyo]],'LM SAP'!A:I,9,FALSE)</f>
        <v>#N/A</v>
      </c>
      <c r="W365" s="110" t="e">
        <f>VLOOKUP(Tabla1313[[#This Row],[Código Indra]],#REF!,1,FALSE)</f>
        <v>#REF!</v>
      </c>
    </row>
    <row r="366" spans="1:23" s="110" customFormat="1" ht="28.5" x14ac:dyDescent="0.25">
      <c r="A366" s="137">
        <v>554</v>
      </c>
      <c r="B366" s="137" t="s">
        <v>1350</v>
      </c>
      <c r="C366" s="138" t="s">
        <v>1351</v>
      </c>
      <c r="D366" s="139" t="s">
        <v>1296</v>
      </c>
      <c r="E366" s="138" t="s">
        <v>1335</v>
      </c>
      <c r="F366" s="137">
        <v>1</v>
      </c>
      <c r="G366" s="139" t="s">
        <v>260</v>
      </c>
      <c r="H366" s="139" t="s">
        <v>261</v>
      </c>
      <c r="I366" s="139" t="s">
        <v>251</v>
      </c>
      <c r="J366" s="137"/>
      <c r="K366" s="272" t="s">
        <v>212</v>
      </c>
      <c r="L366" s="204"/>
      <c r="M366" s="205"/>
      <c r="N366" s="205"/>
      <c r="O366" s="140" t="s">
        <v>1298</v>
      </c>
      <c r="P366" s="141" t="str">
        <f>IF(LEFT(B366,5)="09735",
    IF(ISNA(VLOOKUP(Tabla1313[[#This Row],[Apoyo]],'LM SAP'!A:G,1,FALSE)),
        "No Disponible",
        IF(VLOOKUP(Tabla1313[[#This Row],[Apoyo]],'LM SAP'!A:AD,9,FALSE)="RR",
            "Disponible",
            "Firmas SAP"
        )
    ),
    "CONSULTAR"
)</f>
        <v>No Disponible</v>
      </c>
      <c r="Q366" s="63" t="str">
        <f>MID(Tabla1313[[#This Row],[Código Indra]],1,13)</f>
        <v>0973544200610</v>
      </c>
      <c r="R366" t="s">
        <v>255</v>
      </c>
      <c r="S366" s="63" t="str">
        <f>IF(ISNA(VLOOKUP(Tabla1313[[#This Row],[Código Indra]],#REF!,1,FALSE)),"NO", "SI")</f>
        <v>SI</v>
      </c>
      <c r="T366" s="142"/>
      <c r="U366" t="s">
        <v>256</v>
      </c>
      <c r="V366" t="e">
        <f>VLOOKUP(Tabla1313[[#This Row],[Apoyo]],'LM SAP'!A:I,9,FALSE)</f>
        <v>#N/A</v>
      </c>
      <c r="W366" s="110" t="e">
        <f>VLOOKUP(Tabla1313[[#This Row],[Código Indra]],#REF!,1,FALSE)</f>
        <v>#REF!</v>
      </c>
    </row>
    <row r="367" spans="1:23" s="110" customFormat="1" ht="28.5" x14ac:dyDescent="0.25">
      <c r="A367" s="137">
        <v>555</v>
      </c>
      <c r="B367" s="139" t="s">
        <v>1352</v>
      </c>
      <c r="C367" s="143" t="s">
        <v>1353</v>
      </c>
      <c r="D367" s="137" t="s">
        <v>1296</v>
      </c>
      <c r="E367" s="143" t="s">
        <v>1335</v>
      </c>
      <c r="F367" s="137">
        <v>1</v>
      </c>
      <c r="G367" s="139" t="s">
        <v>260</v>
      </c>
      <c r="H367" s="139" t="s">
        <v>261</v>
      </c>
      <c r="I367" s="137" t="s">
        <v>251</v>
      </c>
      <c r="J367" s="137"/>
      <c r="K367" s="272" t="s">
        <v>212</v>
      </c>
      <c r="L367" s="204"/>
      <c r="M367" s="205"/>
      <c r="N367" s="205"/>
      <c r="O367" s="140" t="s">
        <v>1298</v>
      </c>
      <c r="P367" s="144" t="str">
        <f>IF(LEFT(B367,5)="09735",
    IF(ISNA(VLOOKUP(Tabla1313[[#This Row],[Apoyo]],'LM SAP'!A:G,1,FALSE)),
        "No Disponible",
        IF(VLOOKUP(Tabla1313[[#This Row],[Apoyo]],'LM SAP'!A:AD,9,FALSE)="RR",
            "Disponible",
            "Firmas SAP"
        )
    ),
    "CONSULTAR"
)</f>
        <v>No Disponible</v>
      </c>
      <c r="Q367" s="65" t="str">
        <f>MID(Tabla1313[[#This Row],[Código Indra]],1,13)</f>
        <v>0973544200611</v>
      </c>
      <c r="R367" t="s">
        <v>255</v>
      </c>
      <c r="S367" s="65" t="str">
        <f>IF(ISNA(VLOOKUP(Tabla1313[[#This Row],[Código Indra]],#REF!,1,FALSE)),"NO", "SI")</f>
        <v>SI</v>
      </c>
      <c r="T367" s="145"/>
      <c r="U367" t="s">
        <v>256</v>
      </c>
      <c r="V367" t="e">
        <f>VLOOKUP(Tabla1313[[#This Row],[Apoyo]],'LM SAP'!A:I,9,FALSE)</f>
        <v>#N/A</v>
      </c>
      <c r="W367" s="110" t="e">
        <f>VLOOKUP(Tabla1313[[#This Row],[Código Indra]],#REF!,1,FALSE)</f>
        <v>#REF!</v>
      </c>
    </row>
    <row r="368" spans="1:23" s="110" customFormat="1" ht="42.75" x14ac:dyDescent="0.25">
      <c r="A368" s="137">
        <v>556</v>
      </c>
      <c r="B368" s="137" t="s">
        <v>1354</v>
      </c>
      <c r="C368" s="138" t="s">
        <v>1355</v>
      </c>
      <c r="D368" s="139" t="s">
        <v>1296</v>
      </c>
      <c r="E368" s="138" t="s">
        <v>1356</v>
      </c>
      <c r="F368" s="137">
        <v>1</v>
      </c>
      <c r="G368" s="139" t="s">
        <v>234</v>
      </c>
      <c r="H368" s="137"/>
      <c r="I368" s="139" t="s">
        <v>251</v>
      </c>
      <c r="J368" s="137"/>
      <c r="K368" s="272" t="s">
        <v>212</v>
      </c>
      <c r="L368" s="204"/>
      <c r="M368" s="205"/>
      <c r="N368" s="205"/>
      <c r="O368" s="140" t="s">
        <v>1298</v>
      </c>
      <c r="P368" s="141" t="str">
        <f>IF(LEFT(B368,5)="09735",
    IF(ISNA(VLOOKUP(Tabla1313[[#This Row],[Apoyo]],'LM SAP'!A:G,1,FALSE)),
        "No Disponible",
        IF(VLOOKUP(Tabla1313[[#This Row],[Apoyo]],'LM SAP'!A:AD,9,FALSE)="RR",
            "Disponible",
            "Firmas SAP"
        )
    ),
    "CONSULTAR"
)</f>
        <v>Disponible</v>
      </c>
      <c r="Q368" s="63" t="str">
        <f>MID(Tabla1313[[#This Row],[Código Indra]],1,13)</f>
        <v>0973544200622</v>
      </c>
      <c r="R368" t="s">
        <v>255</v>
      </c>
      <c r="S368" s="63" t="str">
        <f>IF(ISNA(VLOOKUP(Tabla1313[[#This Row],[Código Indra]],#REF!,1,FALSE)),"NO", "SI")</f>
        <v>SI</v>
      </c>
      <c r="T368" s="142"/>
      <c r="U368" t="s">
        <v>256</v>
      </c>
      <c r="V368" t="str">
        <f>VLOOKUP(Tabla1313[[#This Row],[Apoyo]],'LM SAP'!A:I,9,FALSE)</f>
        <v>RR</v>
      </c>
      <c r="W368" s="110" t="e">
        <f>VLOOKUP(Tabla1313[[#This Row],[Código Indra]],#REF!,1,FALSE)</f>
        <v>#REF!</v>
      </c>
    </row>
    <row r="369" spans="1:23" s="110" customFormat="1" ht="42.75" x14ac:dyDescent="0.25">
      <c r="A369" s="137">
        <v>557</v>
      </c>
      <c r="B369" s="139" t="s">
        <v>1357</v>
      </c>
      <c r="C369" s="143" t="s">
        <v>1358</v>
      </c>
      <c r="D369" s="137" t="s">
        <v>1296</v>
      </c>
      <c r="E369" s="143" t="s">
        <v>1359</v>
      </c>
      <c r="F369" s="137">
        <v>1</v>
      </c>
      <c r="G369" s="139" t="s">
        <v>260</v>
      </c>
      <c r="H369" s="139" t="s">
        <v>261</v>
      </c>
      <c r="I369" s="137" t="s">
        <v>251</v>
      </c>
      <c r="J369" s="137"/>
      <c r="K369" s="272" t="s">
        <v>212</v>
      </c>
      <c r="L369" s="204"/>
      <c r="M369" s="205"/>
      <c r="N369" s="205"/>
      <c r="O369" s="140" t="s">
        <v>1298</v>
      </c>
      <c r="P369" s="141" t="str">
        <f>IF(LEFT(B369,5)="09735",
    IF(ISNA(VLOOKUP(Tabla1313[[#This Row],[Apoyo]],'LM SAP'!A:G,1,FALSE)),
        "No Disponible",
        IF(VLOOKUP(Tabla1313[[#This Row],[Apoyo]],'LM SAP'!A:AD,9,FALSE)="RR",
            "Disponible",
            "Firmas SAP"
        )
    ),
    "CONSULTAR"
)</f>
        <v>Disponible</v>
      </c>
      <c r="Q369" s="63" t="str">
        <f>MID(Tabla1313[[#This Row],[Código Indra]],1,13)</f>
        <v>0973544200623</v>
      </c>
      <c r="R369" t="s">
        <v>255</v>
      </c>
      <c r="S369" s="63" t="str">
        <f>IF(ISNA(VLOOKUP(Tabla1313[[#This Row],[Código Indra]],#REF!,1,FALSE)),"NO", "SI")</f>
        <v>SI</v>
      </c>
      <c r="T369" s="142"/>
      <c r="U369" t="s">
        <v>256</v>
      </c>
      <c r="V369" t="str">
        <f>VLOOKUP(Tabla1313[[#This Row],[Apoyo]],'LM SAP'!A:I,9,FALSE)</f>
        <v>RR</v>
      </c>
      <c r="W369" s="110" t="e">
        <f>VLOOKUP(Tabla1313[[#This Row],[Código Indra]],#REF!,1,FALSE)</f>
        <v>#REF!</v>
      </c>
    </row>
    <row r="370" spans="1:23" s="110" customFormat="1" ht="42.75" x14ac:dyDescent="0.25">
      <c r="A370" s="137">
        <v>558</v>
      </c>
      <c r="B370" s="137" t="s">
        <v>1360</v>
      </c>
      <c r="C370" s="138" t="s">
        <v>1361</v>
      </c>
      <c r="D370" s="139" t="s">
        <v>1296</v>
      </c>
      <c r="E370" s="138" t="s">
        <v>1362</v>
      </c>
      <c r="F370" s="137">
        <v>1</v>
      </c>
      <c r="G370" s="139" t="s">
        <v>234</v>
      </c>
      <c r="H370" s="137"/>
      <c r="I370" s="139" t="s">
        <v>251</v>
      </c>
      <c r="J370" s="137"/>
      <c r="K370" s="272" t="s">
        <v>212</v>
      </c>
      <c r="L370" s="204"/>
      <c r="M370" s="205"/>
      <c r="N370" s="205"/>
      <c r="O370" s="140" t="s">
        <v>1298</v>
      </c>
      <c r="P370" s="141" t="str">
        <f>IF(LEFT(B370,5)="09735",
    IF(ISNA(VLOOKUP(Tabla1313[[#This Row],[Apoyo]],'LM SAP'!A:G,1,FALSE)),
        "No Disponible",
        IF(VLOOKUP(Tabla1313[[#This Row],[Apoyo]],'LM SAP'!A:AD,9,FALSE)="RR",
            "Disponible",
            "Firmas SAP"
        )
    ),
    "CONSULTAR"
)</f>
        <v>Disponible</v>
      </c>
      <c r="Q370" s="63" t="str">
        <f>MID(Tabla1313[[#This Row],[Código Indra]],1,13)</f>
        <v>0973544200624</v>
      </c>
      <c r="R370" t="s">
        <v>255</v>
      </c>
      <c r="S370" s="63" t="str">
        <f>IF(ISNA(VLOOKUP(Tabla1313[[#This Row],[Código Indra]],#REF!,1,FALSE)),"NO", "SI")</f>
        <v>SI</v>
      </c>
      <c r="T370" s="142"/>
      <c r="U370" t="s">
        <v>256</v>
      </c>
      <c r="V370" t="str">
        <f>VLOOKUP(Tabla1313[[#This Row],[Apoyo]],'LM SAP'!A:I,9,FALSE)</f>
        <v>RR</v>
      </c>
      <c r="W370" s="110" t="e">
        <f>VLOOKUP(Tabla1313[[#This Row],[Código Indra]],#REF!,1,FALSE)</f>
        <v>#REF!</v>
      </c>
    </row>
    <row r="371" spans="1:23" s="110" customFormat="1" ht="42.75" x14ac:dyDescent="0.25">
      <c r="A371" s="137">
        <v>559</v>
      </c>
      <c r="B371" s="139" t="s">
        <v>1363</v>
      </c>
      <c r="C371" s="143" t="s">
        <v>1364</v>
      </c>
      <c r="D371" s="137" t="s">
        <v>1296</v>
      </c>
      <c r="E371" s="143" t="s">
        <v>1365</v>
      </c>
      <c r="F371" s="137">
        <v>1</v>
      </c>
      <c r="G371" s="139" t="s">
        <v>234</v>
      </c>
      <c r="H371" s="137"/>
      <c r="I371" s="137" t="s">
        <v>251</v>
      </c>
      <c r="J371" s="137"/>
      <c r="K371" s="272" t="s">
        <v>212</v>
      </c>
      <c r="L371" s="204"/>
      <c r="M371" s="205"/>
      <c r="N371" s="205"/>
      <c r="O371" s="140" t="s">
        <v>1298</v>
      </c>
      <c r="P371" s="144" t="str">
        <f>IF(LEFT(B371,5)="09735",
    IF(ISNA(VLOOKUP(Tabla1313[[#This Row],[Apoyo]],'LM SAP'!A:G,1,FALSE)),
        "No Disponible",
        IF(VLOOKUP(Tabla1313[[#This Row],[Apoyo]],'LM SAP'!A:AD,9,FALSE)="RR",
            "Disponible",
            "Firmas SAP"
        )
    ),
    "CONSULTAR"
)</f>
        <v>Disponible</v>
      </c>
      <c r="Q371" s="65" t="str">
        <f>MID(Tabla1313[[#This Row],[Código Indra]],1,13)</f>
        <v>0973544200625</v>
      </c>
      <c r="R371" t="s">
        <v>255</v>
      </c>
      <c r="S371" s="65" t="str">
        <f>IF(ISNA(VLOOKUP(Tabla1313[[#This Row],[Código Indra]],#REF!,1,FALSE)),"NO", "SI")</f>
        <v>SI</v>
      </c>
      <c r="T371" s="145"/>
      <c r="U371" t="s">
        <v>256</v>
      </c>
      <c r="V371" t="str">
        <f>VLOOKUP(Tabla1313[[#This Row],[Apoyo]],'LM SAP'!A:I,9,FALSE)</f>
        <v>RR</v>
      </c>
      <c r="W371" s="110" t="e">
        <f>VLOOKUP(Tabla1313[[#This Row],[Código Indra]],#REF!,1,FALSE)</f>
        <v>#REF!</v>
      </c>
    </row>
    <row r="372" spans="1:23" s="110" customFormat="1" ht="45" x14ac:dyDescent="0.25">
      <c r="A372" s="137">
        <v>560</v>
      </c>
      <c r="B372" s="139" t="s">
        <v>163</v>
      </c>
      <c r="C372" s="138" t="s">
        <v>1296</v>
      </c>
      <c r="D372" s="139" t="s">
        <v>61</v>
      </c>
      <c r="E372" s="138" t="s">
        <v>1366</v>
      </c>
      <c r="F372" s="137">
        <v>1</v>
      </c>
      <c r="G372" s="139" t="s">
        <v>234</v>
      </c>
      <c r="H372" s="137"/>
      <c r="I372" s="139" t="s">
        <v>251</v>
      </c>
      <c r="J372" s="137"/>
      <c r="K372" s="272" t="s">
        <v>212</v>
      </c>
      <c r="L372" s="204"/>
      <c r="M372" s="205"/>
      <c r="N372" s="205"/>
      <c r="O372" s="140" t="s">
        <v>1367</v>
      </c>
      <c r="P372" s="144" t="str">
        <f>IF(LEFT(B372,5)="09735",
    IF(ISNA(VLOOKUP(Tabla1313[[#This Row],[Apoyo]],'LM SAP'!A:G,1,FALSE)),
        "No Disponible",
        IF(VLOOKUP(Tabla1313[[#This Row],[Apoyo]],'LM SAP'!A:AD,9,FALSE)="RR",
            "Disponible",
            "Firmas SAP"
        )
    ),
    "CONSULTAR"
)</f>
        <v>No Disponible</v>
      </c>
      <c r="Q372" s="65" t="str">
        <f>MID(Tabla1313[[#This Row],[Código Indra]],1,13)</f>
        <v>0973524200600</v>
      </c>
      <c r="R372" t="s">
        <v>255</v>
      </c>
      <c r="S372" s="65" t="str">
        <f>IF(ISNA(VLOOKUP(Tabla1313[[#This Row],[Código Indra]],#REF!,1,FALSE)),"NO", "SI")</f>
        <v>SI</v>
      </c>
      <c r="T372" s="145"/>
      <c r="U372" t="s">
        <v>227</v>
      </c>
      <c r="V372" t="e">
        <f>VLOOKUP(Tabla1313[[#This Row],[Apoyo]],'LM SAP'!A:I,9,FALSE)</f>
        <v>#N/A</v>
      </c>
      <c r="W372" s="110" t="e">
        <f>VLOOKUP(Tabla1313[[#This Row],[Código Indra]],#REF!,1,FALSE)</f>
        <v>#REF!</v>
      </c>
    </row>
    <row r="373" spans="1:23" ht="30" x14ac:dyDescent="0.25">
      <c r="A373" s="64">
        <v>561</v>
      </c>
      <c r="B373" s="61" t="s">
        <v>194</v>
      </c>
      <c r="C373" s="76" t="s">
        <v>195</v>
      </c>
      <c r="D373" s="64"/>
      <c r="E373" s="76" t="s">
        <v>1368</v>
      </c>
      <c r="F373" s="64">
        <v>1</v>
      </c>
      <c r="G373" s="61" t="s">
        <v>622</v>
      </c>
      <c r="H373" s="61" t="s">
        <v>275</v>
      </c>
      <c r="I373" s="64" t="s">
        <v>251</v>
      </c>
      <c r="J373" s="64"/>
      <c r="K373" s="213" t="s">
        <v>212</v>
      </c>
      <c r="L373" s="191"/>
      <c r="M373" s="192"/>
      <c r="N373" s="192"/>
      <c r="O373" s="102" t="s">
        <v>1369</v>
      </c>
      <c r="P373" s="103" t="str">
        <f>IF(LEFT(B373,5)="09735",
    IF(ISNA(VLOOKUP(Tabla1313[[#This Row],[Apoyo]],'LM SAP'!A:G,1,FALSE)),
        "No Disponible",
        IF(VLOOKUP(Tabla1313[[#This Row],[Apoyo]],'LM SAP'!A:AD,9,FALSE)="RR",
            "Disponible",
            "Firmas SAP"
        )
    ),
    "CONSULTAR"
)</f>
        <v>No Disponible</v>
      </c>
      <c r="Q373" s="65" t="str">
        <f>MID(Tabla1313[[#This Row],[Código Indra]],1,13)</f>
        <v>0973524017000</v>
      </c>
      <c r="R373" t="s">
        <v>255</v>
      </c>
      <c r="S373" s="65" t="str">
        <f>IF(ISNA(VLOOKUP(Tabla1313[[#This Row],[Código Indra]],#REF!,1,FALSE)),"NO", "SI")</f>
        <v>SI</v>
      </c>
      <c r="T373" s="92"/>
      <c r="U373" t="s">
        <v>227</v>
      </c>
      <c r="V373" t="e">
        <f>VLOOKUP(Tabla1313[[#This Row],[Apoyo]],'LM SAP'!A:I,9,FALSE)</f>
        <v>#N/A</v>
      </c>
      <c r="W373" t="e">
        <f>VLOOKUP(Tabla1313[[#This Row],[Código Indra]],#REF!,1,FALSE)</f>
        <v>#REF!</v>
      </c>
    </row>
    <row r="374" spans="1:23" s="130" customFormat="1" ht="72" x14ac:dyDescent="0.25">
      <c r="A374" s="152">
        <v>562</v>
      </c>
      <c r="B374" s="125" t="s">
        <v>1370</v>
      </c>
      <c r="C374" s="126" t="s">
        <v>1371</v>
      </c>
      <c r="D374" s="125" t="s">
        <v>167</v>
      </c>
      <c r="E374" s="153"/>
      <c r="F374" s="152">
        <v>1</v>
      </c>
      <c r="G374" s="125" t="s">
        <v>260</v>
      </c>
      <c r="H374" s="125" t="s">
        <v>261</v>
      </c>
      <c r="I374" s="125" t="s">
        <v>251</v>
      </c>
      <c r="J374" s="152"/>
      <c r="K374" s="250" t="s">
        <v>215</v>
      </c>
      <c r="L374" s="251">
        <v>60005259</v>
      </c>
      <c r="M374" s="252">
        <v>45631</v>
      </c>
      <c r="N374" s="198"/>
      <c r="O374" s="253" t="s">
        <v>1372</v>
      </c>
      <c r="P374" s="133" t="str">
        <f>IF(LEFT(B374,5)="09735",
    IF(ISNA(VLOOKUP(Tabla1313[[#This Row],[Apoyo]],'LM SAP'!A:G,1,FALSE)),
        "No Disponible",
        IF(VLOOKUP(Tabla1313[[#This Row],[Apoyo]],'LM SAP'!A:AD,9,FALSE)="RR",
            "Disponible",
            "Firmas SAP"
        )
    ),
    "CONSULTAR"
)</f>
        <v>No Disponible</v>
      </c>
      <c r="Q374" s="127" t="str">
        <f>MID(Tabla1313[[#This Row],[Código Indra]],1,13)</f>
        <v>0973544000140</v>
      </c>
      <c r="R374" s="130" t="s">
        <v>255</v>
      </c>
      <c r="S374" s="127" t="str">
        <f>IF(ISNA(VLOOKUP(Tabla1313[[#This Row],[Código Indra]],#REF!,1,FALSE)),"NO", "SI")</f>
        <v>SI</v>
      </c>
      <c r="T374" s="134"/>
      <c r="U374" t="s">
        <v>256</v>
      </c>
      <c r="V374" t="e">
        <f>VLOOKUP(Tabla1313[[#This Row],[Apoyo]],'LM SAP'!A:I,9,FALSE)</f>
        <v>#N/A</v>
      </c>
      <c r="W374" s="130" t="e">
        <f>VLOOKUP(Tabla1313[[#This Row],[Código Indra]],#REF!,1,FALSE)</f>
        <v>#REF!</v>
      </c>
    </row>
    <row r="375" spans="1:23" s="130" customFormat="1" ht="72" x14ac:dyDescent="0.25">
      <c r="A375" s="152">
        <v>563</v>
      </c>
      <c r="B375" s="125" t="s">
        <v>1373</v>
      </c>
      <c r="C375" s="153" t="s">
        <v>1374</v>
      </c>
      <c r="D375" s="152" t="s">
        <v>167</v>
      </c>
      <c r="E375" s="153"/>
      <c r="F375" s="152">
        <v>1</v>
      </c>
      <c r="G375" s="125" t="s">
        <v>260</v>
      </c>
      <c r="H375" s="125" t="s">
        <v>261</v>
      </c>
      <c r="I375" s="152" t="s">
        <v>251</v>
      </c>
      <c r="J375" s="152"/>
      <c r="K375" s="250" t="s">
        <v>215</v>
      </c>
      <c r="L375" s="251">
        <v>60005259</v>
      </c>
      <c r="M375" s="252">
        <v>45631</v>
      </c>
      <c r="N375" s="198"/>
      <c r="O375" s="253" t="s">
        <v>1372</v>
      </c>
      <c r="P375" s="133" t="str">
        <f>IF(LEFT(B375,5)="09735",
    IF(ISNA(VLOOKUP(Tabla1313[[#This Row],[Apoyo]],'LM SAP'!A:G,1,FALSE)),
        "No Disponible",
        IF(VLOOKUP(Tabla1313[[#This Row],[Apoyo]],'LM SAP'!A:AD,9,FALSE)="RR",
            "Disponible",
            "Firmas SAP"
        )
    ),
    "CONSULTAR"
)</f>
        <v>No Disponible</v>
      </c>
      <c r="Q375" s="127" t="str">
        <f>MID(Tabla1313[[#This Row],[Código Indra]],1,13)</f>
        <v>0973544000141</v>
      </c>
      <c r="R375" s="130" t="s">
        <v>255</v>
      </c>
      <c r="S375" s="127" t="str">
        <f>IF(ISNA(VLOOKUP(Tabla1313[[#This Row],[Código Indra]],#REF!,1,FALSE)),"NO", "SI")</f>
        <v>SI</v>
      </c>
      <c r="T375" s="134"/>
      <c r="U375" t="s">
        <v>256</v>
      </c>
      <c r="V375" t="e">
        <f>VLOOKUP(Tabla1313[[#This Row],[Apoyo]],'LM SAP'!A:I,9,FALSE)</f>
        <v>#N/A</v>
      </c>
      <c r="W375" s="130" t="e">
        <f>VLOOKUP(Tabla1313[[#This Row],[Código Indra]],#REF!,1,FALSE)</f>
        <v>#REF!</v>
      </c>
    </row>
    <row r="376" spans="1:23" s="130" customFormat="1" ht="72" x14ac:dyDescent="0.25">
      <c r="A376" s="152">
        <v>564</v>
      </c>
      <c r="B376" s="152" t="s">
        <v>1375</v>
      </c>
      <c r="C376" s="126" t="s">
        <v>1376</v>
      </c>
      <c r="D376" s="125" t="s">
        <v>167</v>
      </c>
      <c r="E376" s="153"/>
      <c r="F376" s="152">
        <v>1</v>
      </c>
      <c r="G376" s="125" t="s">
        <v>260</v>
      </c>
      <c r="H376" s="125" t="s">
        <v>261</v>
      </c>
      <c r="I376" s="125" t="s">
        <v>251</v>
      </c>
      <c r="J376" s="152"/>
      <c r="K376" s="250" t="s">
        <v>215</v>
      </c>
      <c r="L376" s="251">
        <v>60005259</v>
      </c>
      <c r="M376" s="252">
        <v>45631</v>
      </c>
      <c r="N376" s="198"/>
      <c r="O376" s="253" t="s">
        <v>1372</v>
      </c>
      <c r="P376" s="154" t="str">
        <f>IF(LEFT(B376,5)="09735",
    IF(ISNA(VLOOKUP(Tabla1313[[#This Row],[Apoyo]],'LM SAP'!A:G,1,FALSE)),
        "No Disponible",
        IF(VLOOKUP(Tabla1313[[#This Row],[Apoyo]],'LM SAP'!A:AD,9,FALSE)="RR",
            "Disponible",
            "Firmas SAP"
        )
    ),
    "CONSULTAR"
)</f>
        <v>No Disponible</v>
      </c>
      <c r="Q376" s="155" t="str">
        <f>MID(Tabla1313[[#This Row],[Código Indra]],1,13)</f>
        <v>0973544000142</v>
      </c>
      <c r="R376" s="130" t="s">
        <v>255</v>
      </c>
      <c r="S376" s="155" t="str">
        <f>IF(ISNA(VLOOKUP(Tabla1313[[#This Row],[Código Indra]],#REF!,1,FALSE)),"NO", "SI")</f>
        <v>SI</v>
      </c>
      <c r="T376" s="156"/>
      <c r="U376" t="s">
        <v>256</v>
      </c>
      <c r="V376" t="e">
        <f>VLOOKUP(Tabla1313[[#This Row],[Apoyo]],'LM SAP'!A:I,9,FALSE)</f>
        <v>#N/A</v>
      </c>
      <c r="W376" s="130" t="e">
        <f>VLOOKUP(Tabla1313[[#This Row],[Código Indra]],#REF!,1,FALSE)</f>
        <v>#REF!</v>
      </c>
    </row>
    <row r="377" spans="1:23" ht="30" x14ac:dyDescent="0.25">
      <c r="A377" s="64">
        <v>570</v>
      </c>
      <c r="B377" s="61" t="s">
        <v>120</v>
      </c>
      <c r="C377" s="76" t="s">
        <v>121</v>
      </c>
      <c r="D377" s="64"/>
      <c r="E377" s="76" t="s">
        <v>1377</v>
      </c>
      <c r="F377" s="64">
        <v>1</v>
      </c>
      <c r="G377" s="61" t="s">
        <v>234</v>
      </c>
      <c r="H377" s="64"/>
      <c r="I377" s="64" t="s">
        <v>276</v>
      </c>
      <c r="J377" s="64"/>
      <c r="K377" s="213" t="s">
        <v>212</v>
      </c>
      <c r="L377" s="191"/>
      <c r="M377" s="192"/>
      <c r="N377" s="192"/>
      <c r="O377" s="102"/>
      <c r="P377" s="103" t="str">
        <f>IF(LEFT(B377,5)="09735",
    IF(ISNA(VLOOKUP(Tabla1313[[#This Row],[Apoyo]],'LM SAP'!A:G,1,FALSE)),
        "No Disponible",
        IF(VLOOKUP(Tabla1313[[#This Row],[Apoyo]],'LM SAP'!A:AD,9,FALSE)="RR",
            "Disponible",
            "Firmas SAP"
        )
    ),
    "CONSULTAR"
)</f>
        <v>Disponible</v>
      </c>
      <c r="Q377" s="65" t="str">
        <f>MID(Tabla1313[[#This Row],[Código Indra]],1,13)</f>
        <v>0973525030000</v>
      </c>
      <c r="R377" t="s">
        <v>255</v>
      </c>
      <c r="S377" s="65" t="str">
        <f>IF(ISNA(VLOOKUP(Tabla1313[[#This Row],[Código Indra]],#REF!,1,FALSE)),"NO", "SI")</f>
        <v>SI</v>
      </c>
      <c r="T377" s="92"/>
      <c r="U377" t="s">
        <v>255</v>
      </c>
      <c r="V377" t="str">
        <f>VLOOKUP(Tabla1313[[#This Row],[Apoyo]],'LM SAP'!A:I,9,FALSE)</f>
        <v>RR</v>
      </c>
      <c r="W377" t="e">
        <f>VLOOKUP(Tabla1313[[#This Row],[Código Indra]],#REF!,1,FALSE)</f>
        <v>#REF!</v>
      </c>
    </row>
    <row r="378" spans="1:23" ht="30" x14ac:dyDescent="0.25">
      <c r="A378" s="64">
        <v>571</v>
      </c>
      <c r="B378" s="64" t="s">
        <v>123</v>
      </c>
      <c r="C378" s="75" t="s">
        <v>124</v>
      </c>
      <c r="D378" s="64"/>
      <c r="E378" s="75" t="s">
        <v>1378</v>
      </c>
      <c r="F378" s="64">
        <v>1</v>
      </c>
      <c r="G378" s="61" t="s">
        <v>234</v>
      </c>
      <c r="H378" s="64"/>
      <c r="I378" s="61" t="s">
        <v>276</v>
      </c>
      <c r="J378" s="64"/>
      <c r="K378" s="213" t="s">
        <v>212</v>
      </c>
      <c r="L378" s="191"/>
      <c r="M378" s="192"/>
      <c r="N378" s="192"/>
      <c r="O378" s="102"/>
      <c r="P378" s="103" t="str">
        <f>IF(LEFT(B378,5)="09735",
    IF(ISNA(VLOOKUP(Tabla1313[[#This Row],[Apoyo]],'LM SAP'!A:G,1,FALSE)),
        "No Disponible",
        IF(VLOOKUP(Tabla1313[[#This Row],[Apoyo]],'LM SAP'!A:AD,9,FALSE)="RR",
            "Disponible",
            "Firmas SAP"
        )
    ),
    "CONSULTAR"
)</f>
        <v>No Disponible</v>
      </c>
      <c r="Q378" s="65" t="str">
        <f>MID(Tabla1313[[#This Row],[Código Indra]],1,13)</f>
        <v>0973525040000</v>
      </c>
      <c r="R378" t="s">
        <v>255</v>
      </c>
      <c r="S378" s="65" t="str">
        <f>IF(ISNA(VLOOKUP(Tabla1313[[#This Row],[Código Indra]],#REF!,1,FALSE)),"NO", "SI")</f>
        <v>SI</v>
      </c>
      <c r="T378" s="92"/>
      <c r="U378" t="s">
        <v>255</v>
      </c>
      <c r="V378" t="e">
        <f>VLOOKUP(Tabla1313[[#This Row],[Apoyo]],'LM SAP'!A:I,9,FALSE)</f>
        <v>#N/A</v>
      </c>
      <c r="W378" t="e">
        <f>VLOOKUP(Tabla1313[[#This Row],[Código Indra]],#REF!,1,FALSE)</f>
        <v>#REF!</v>
      </c>
    </row>
    <row r="379" spans="1:23" ht="30" x14ac:dyDescent="0.25">
      <c r="A379" s="64">
        <v>572</v>
      </c>
      <c r="B379" s="61" t="s">
        <v>125</v>
      </c>
      <c r="C379" s="76" t="s">
        <v>126</v>
      </c>
      <c r="D379" s="64"/>
      <c r="E379" s="76" t="s">
        <v>1379</v>
      </c>
      <c r="F379" s="64">
        <v>1</v>
      </c>
      <c r="G379" s="61" t="s">
        <v>234</v>
      </c>
      <c r="H379" s="64"/>
      <c r="I379" s="64" t="s">
        <v>276</v>
      </c>
      <c r="J379" s="64"/>
      <c r="K379" s="213" t="s">
        <v>212</v>
      </c>
      <c r="L379" s="191"/>
      <c r="M379" s="192"/>
      <c r="N379" s="192"/>
      <c r="O379" s="102"/>
      <c r="P379" s="103" t="str">
        <f>IF(LEFT(B379,5)="09735",
    IF(ISNA(VLOOKUP(Tabla1313[[#This Row],[Apoyo]],'LM SAP'!A:G,1,FALSE)),
        "No Disponible",
        IF(VLOOKUP(Tabla1313[[#This Row],[Apoyo]],'LM SAP'!A:AD,9,FALSE)="RR",
            "Disponible",
            "Firmas SAP"
        )
    ),
    "CONSULTAR"
)</f>
        <v>No Disponible</v>
      </c>
      <c r="Q379" s="65" t="str">
        <f>MID(Tabla1313[[#This Row],[Código Indra]],1,13)</f>
        <v>0973525050000</v>
      </c>
      <c r="R379" t="s">
        <v>255</v>
      </c>
      <c r="S379" s="65" t="str">
        <f>IF(ISNA(VLOOKUP(Tabla1313[[#This Row],[Código Indra]],#REF!,1,FALSE)),"NO", "SI")</f>
        <v>SI</v>
      </c>
      <c r="T379" s="92"/>
      <c r="U379" t="s">
        <v>255</v>
      </c>
      <c r="V379" t="e">
        <f>VLOOKUP(Tabla1313[[#This Row],[Apoyo]],'LM SAP'!A:I,9,FALSE)</f>
        <v>#N/A</v>
      </c>
      <c r="W379" t="e">
        <f>VLOOKUP(Tabla1313[[#This Row],[Código Indra]],#REF!,1,FALSE)</f>
        <v>#REF!</v>
      </c>
    </row>
    <row r="380" spans="1:23" ht="30" x14ac:dyDescent="0.25">
      <c r="A380" s="64">
        <v>573</v>
      </c>
      <c r="B380" s="64" t="s">
        <v>127</v>
      </c>
      <c r="C380" s="75" t="s">
        <v>128</v>
      </c>
      <c r="D380" s="64"/>
      <c r="E380" s="75" t="s">
        <v>1380</v>
      </c>
      <c r="F380" s="64">
        <v>1</v>
      </c>
      <c r="G380" s="61" t="s">
        <v>234</v>
      </c>
      <c r="H380" s="64"/>
      <c r="I380" s="61" t="s">
        <v>276</v>
      </c>
      <c r="J380" s="64"/>
      <c r="K380" s="213" t="s">
        <v>212</v>
      </c>
      <c r="L380" s="191"/>
      <c r="M380" s="192"/>
      <c r="N380" s="192"/>
      <c r="O380" s="102"/>
      <c r="P380" s="103" t="str">
        <f>IF(LEFT(B380,5)="09735",
    IF(ISNA(VLOOKUP(Tabla1313[[#This Row],[Apoyo]],'LM SAP'!A:G,1,FALSE)),
        "No Disponible",
        IF(VLOOKUP(Tabla1313[[#This Row],[Apoyo]],'LM SAP'!A:AD,9,FALSE)="RR",
            "Disponible",
            "Firmas SAP"
        )
    ),
    "CONSULTAR"
)</f>
        <v>Disponible</v>
      </c>
      <c r="Q380" s="65" t="str">
        <f>MID(Tabla1313[[#This Row],[Código Indra]],1,13)</f>
        <v>0973525060000</v>
      </c>
      <c r="R380" t="s">
        <v>255</v>
      </c>
      <c r="S380" s="65" t="str">
        <f>IF(ISNA(VLOOKUP(Tabla1313[[#This Row],[Código Indra]],#REF!,1,FALSE)),"NO", "SI")</f>
        <v>SI</v>
      </c>
      <c r="T380" s="92"/>
      <c r="U380" t="s">
        <v>255</v>
      </c>
      <c r="V380" t="str">
        <f>VLOOKUP(Tabla1313[[#This Row],[Apoyo]],'LM SAP'!A:I,9,FALSE)</f>
        <v>RR</v>
      </c>
      <c r="W380" t="e">
        <f>VLOOKUP(Tabla1313[[#This Row],[Código Indra]],#REF!,1,FALSE)</f>
        <v>#REF!</v>
      </c>
    </row>
    <row r="381" spans="1:23" ht="45" x14ac:dyDescent="0.25">
      <c r="A381" s="64">
        <v>574</v>
      </c>
      <c r="B381" s="61" t="s">
        <v>133</v>
      </c>
      <c r="C381" s="76" t="s">
        <v>134</v>
      </c>
      <c r="D381" s="64"/>
      <c r="E381" s="76" t="s">
        <v>1381</v>
      </c>
      <c r="F381" s="64">
        <v>1</v>
      </c>
      <c r="G381" s="61" t="s">
        <v>234</v>
      </c>
      <c r="H381" s="64"/>
      <c r="I381" s="64" t="s">
        <v>276</v>
      </c>
      <c r="J381" s="64"/>
      <c r="K381" s="213" t="s">
        <v>215</v>
      </c>
      <c r="L381" s="251">
        <v>60005300</v>
      </c>
      <c r="M381" s="252">
        <v>45631</v>
      </c>
      <c r="N381" s="192"/>
      <c r="O381" s="102"/>
      <c r="P381" s="103" t="str">
        <f>IF(LEFT(B381,5)="09735",
    IF(ISNA(VLOOKUP(Tabla1313[[#This Row],[Apoyo]],'LM SAP'!A:G,1,FALSE)),
        "No Disponible",
        IF(VLOOKUP(Tabla1313[[#This Row],[Apoyo]],'LM SAP'!A:AD,9,FALSE)="RR",
            "Disponible",
            "Firmas SAP"
        )
    ),
    "CONSULTAR"
)</f>
        <v>No Disponible</v>
      </c>
      <c r="Q381" s="65" t="str">
        <f>MID(Tabla1313[[#This Row],[Código Indra]],1,13)</f>
        <v>0973525070000</v>
      </c>
      <c r="R381" t="s">
        <v>255</v>
      </c>
      <c r="S381" s="65" t="str">
        <f>IF(ISNA(VLOOKUP(Tabla1313[[#This Row],[Código Indra]],#REF!,1,FALSE)),"NO", "SI")</f>
        <v>SI</v>
      </c>
      <c r="T381" s="92"/>
      <c r="U381" t="s">
        <v>255</v>
      </c>
      <c r="V381" t="e">
        <f>VLOOKUP(Tabla1313[[#This Row],[Apoyo]],'LM SAP'!A:I,9,FALSE)</f>
        <v>#N/A</v>
      </c>
      <c r="W381" t="e">
        <f>VLOOKUP(Tabla1313[[#This Row],[Código Indra]],#REF!,1,FALSE)</f>
        <v>#REF!</v>
      </c>
    </row>
    <row r="382" spans="1:23" ht="45" x14ac:dyDescent="0.25">
      <c r="A382" s="64">
        <v>575</v>
      </c>
      <c r="B382" s="64" t="s">
        <v>1382</v>
      </c>
      <c r="C382" s="75" t="s">
        <v>1383</v>
      </c>
      <c r="D382" s="64"/>
      <c r="E382" s="75" t="s">
        <v>1384</v>
      </c>
      <c r="F382" s="64">
        <v>1</v>
      </c>
      <c r="G382" s="61" t="s">
        <v>234</v>
      </c>
      <c r="H382" s="64"/>
      <c r="I382" s="61" t="s">
        <v>276</v>
      </c>
      <c r="J382" s="64"/>
      <c r="K382" s="213" t="s">
        <v>212</v>
      </c>
      <c r="L382" s="191"/>
      <c r="M382" s="192"/>
      <c r="N382" s="192"/>
      <c r="O382" s="102"/>
      <c r="P382" s="103" t="str">
        <f>IF(LEFT(B382,5)="09735",
    IF(ISNA(VLOOKUP(Tabla1313[[#This Row],[Apoyo]],'LM SAP'!A:G,1,FALSE)),
        "No Disponible",
        IF(VLOOKUP(Tabla1313[[#This Row],[Apoyo]],'LM SAP'!A:AD,9,FALSE)="RR",
            "Disponible",
            "Firmas SAP"
        )
    ),
    "CONSULTAR"
)</f>
        <v>No Disponible</v>
      </c>
      <c r="Q382" s="65" t="str">
        <f>MID(Tabla1313[[#This Row],[Código Indra]],1,13)</f>
        <v>0973525070700</v>
      </c>
      <c r="R382" t="s">
        <v>255</v>
      </c>
      <c r="S382" s="65" t="str">
        <f>IF(ISNA(VLOOKUP(Tabla1313[[#This Row],[Código Indra]],#REF!,1,FALSE)),"NO", "SI")</f>
        <v>SI</v>
      </c>
      <c r="T382" s="92"/>
      <c r="U382" t="s">
        <v>255</v>
      </c>
      <c r="V382" t="e">
        <f>VLOOKUP(Tabla1313[[#This Row],[Apoyo]],'LM SAP'!A:I,9,FALSE)</f>
        <v>#N/A</v>
      </c>
      <c r="W382" t="e">
        <f>VLOOKUP(Tabla1313[[#This Row],[Código Indra]],#REF!,1,FALSE)</f>
        <v>#REF!</v>
      </c>
    </row>
    <row r="383" spans="1:23" ht="45" x14ac:dyDescent="0.25">
      <c r="A383" s="64">
        <v>576</v>
      </c>
      <c r="B383" s="61" t="s">
        <v>1385</v>
      </c>
      <c r="C383" s="76" t="s">
        <v>1386</v>
      </c>
      <c r="D383" s="64"/>
      <c r="E383" s="76" t="s">
        <v>1387</v>
      </c>
      <c r="F383" s="64">
        <v>1</v>
      </c>
      <c r="G383" s="61" t="s">
        <v>234</v>
      </c>
      <c r="H383" s="64"/>
      <c r="I383" s="64" t="s">
        <v>276</v>
      </c>
      <c r="J383" s="64"/>
      <c r="K383" s="213" t="s">
        <v>215</v>
      </c>
      <c r="L383" s="191">
        <v>60005319</v>
      </c>
      <c r="M383" s="192">
        <v>45637</v>
      </c>
      <c r="N383" s="192"/>
      <c r="O383" s="102"/>
      <c r="P383" s="103" t="str">
        <f>IF(LEFT(B383,5)="09735",
    IF(ISNA(VLOOKUP(Tabla1313[[#This Row],[Apoyo]],'LM SAP'!A:G,1,FALSE)),
        "No Disponible",
        IF(VLOOKUP(Tabla1313[[#This Row],[Apoyo]],'LM SAP'!A:AD,9,FALSE)="RR",
            "Disponible",
            "Firmas SAP"
        )
    ),
    "CONSULTAR"
)</f>
        <v>No Disponible</v>
      </c>
      <c r="Q383" s="65" t="str">
        <f>MID(Tabla1313[[#This Row],[Código Indra]],1,13)</f>
        <v>0973525070800</v>
      </c>
      <c r="R383" t="s">
        <v>255</v>
      </c>
      <c r="S383" s="65" t="str">
        <f>IF(ISNA(VLOOKUP(Tabla1313[[#This Row],[Código Indra]],#REF!,1,FALSE)),"NO", "SI")</f>
        <v>SI</v>
      </c>
      <c r="T383" s="92"/>
      <c r="U383" t="s">
        <v>255</v>
      </c>
      <c r="V383" t="e">
        <f>VLOOKUP(Tabla1313[[#This Row],[Apoyo]],'LM SAP'!A:I,9,FALSE)</f>
        <v>#N/A</v>
      </c>
      <c r="W383" t="e">
        <f>VLOOKUP(Tabla1313[[#This Row],[Código Indra]],#REF!,1,FALSE)</f>
        <v>#REF!</v>
      </c>
    </row>
    <row r="384" spans="1:23" ht="45" x14ac:dyDescent="0.25">
      <c r="A384" s="64">
        <v>577</v>
      </c>
      <c r="B384" s="64" t="s">
        <v>130</v>
      </c>
      <c r="C384" s="75" t="s">
        <v>131</v>
      </c>
      <c r="D384" s="64"/>
      <c r="E384" s="75" t="s">
        <v>1388</v>
      </c>
      <c r="F384" s="64">
        <v>1</v>
      </c>
      <c r="G384" s="61" t="s">
        <v>234</v>
      </c>
      <c r="H384" s="64"/>
      <c r="I384" s="61" t="s">
        <v>276</v>
      </c>
      <c r="J384" s="64"/>
      <c r="K384" s="213" t="s">
        <v>212</v>
      </c>
      <c r="L384" s="191"/>
      <c r="M384" s="192"/>
      <c r="N384" s="192"/>
      <c r="O384" s="102"/>
      <c r="P384" s="103" t="str">
        <f>IF(LEFT(B384,5)="09735",
    IF(ISNA(VLOOKUP(Tabla1313[[#This Row],[Apoyo]],'LM SAP'!A:G,1,FALSE)),
        "No Disponible",
        IF(VLOOKUP(Tabla1313[[#This Row],[Apoyo]],'LM SAP'!A:AD,9,FALSE)="RR",
            "Disponible",
            "Firmas SAP"
        )
    ),
    "CONSULTAR"
)</f>
        <v>No Disponible</v>
      </c>
      <c r="Q384" s="65" t="str">
        <f>MID(Tabla1313[[#This Row],[Código Indra]],1,13)</f>
        <v>0973525090000</v>
      </c>
      <c r="R384" t="s">
        <v>255</v>
      </c>
      <c r="S384" s="65" t="str">
        <f>IF(ISNA(VLOOKUP(Tabla1313[[#This Row],[Código Indra]],#REF!,1,FALSE)),"NO", "SI")</f>
        <v>SI</v>
      </c>
      <c r="T384" s="92"/>
      <c r="U384" t="s">
        <v>255</v>
      </c>
      <c r="V384" t="e">
        <f>VLOOKUP(Tabla1313[[#This Row],[Apoyo]],'LM SAP'!A:I,9,FALSE)</f>
        <v>#N/A</v>
      </c>
      <c r="W384" t="e">
        <f>VLOOKUP(Tabla1313[[#This Row],[Código Indra]],#REF!,1,FALSE)</f>
        <v>#REF!</v>
      </c>
    </row>
    <row r="385" spans="1:23" x14ac:dyDescent="0.25">
      <c r="A385" s="64">
        <v>578</v>
      </c>
      <c r="B385" s="61" t="s">
        <v>136</v>
      </c>
      <c r="C385" s="76" t="s">
        <v>137</v>
      </c>
      <c r="D385" s="64"/>
      <c r="E385" s="76" t="s">
        <v>685</v>
      </c>
      <c r="F385" s="64">
        <v>1</v>
      </c>
      <c r="G385" s="61" t="s">
        <v>234</v>
      </c>
      <c r="H385" s="64"/>
      <c r="I385" s="64" t="s">
        <v>276</v>
      </c>
      <c r="J385" s="64"/>
      <c r="K385" s="213" t="s">
        <v>212</v>
      </c>
      <c r="L385" s="191"/>
      <c r="M385" s="192"/>
      <c r="N385" s="192"/>
      <c r="O385" s="102"/>
      <c r="P385" s="103" t="str">
        <f>IF(LEFT(B385,5)="09735",
    IF(ISNA(VLOOKUP(Tabla1313[[#This Row],[Apoyo]],'LM SAP'!A:G,1,FALSE)),
        "No Disponible",
        IF(VLOOKUP(Tabla1313[[#This Row],[Apoyo]],'LM SAP'!A:AD,9,FALSE)="RR",
            "Disponible",
            "Firmas SAP"
        )
    ),
    "CONSULTAR"
)</f>
        <v>No Disponible</v>
      </c>
      <c r="Q385" s="65" t="str">
        <f>MID(Tabla1313[[#This Row],[Código Indra]],1,13)</f>
        <v>0973525100000</v>
      </c>
      <c r="R385" t="s">
        <v>255</v>
      </c>
      <c r="S385" s="65" t="str">
        <f>IF(ISNA(VLOOKUP(Tabla1313[[#This Row],[Código Indra]],#REF!,1,FALSE)),"NO", "SI")</f>
        <v>SI</v>
      </c>
      <c r="T385" s="92"/>
      <c r="U385" t="s">
        <v>255</v>
      </c>
      <c r="V385" t="e">
        <f>VLOOKUP(Tabla1313[[#This Row],[Apoyo]],'LM SAP'!A:I,9,FALSE)</f>
        <v>#N/A</v>
      </c>
      <c r="W385" t="e">
        <f>VLOOKUP(Tabla1313[[#This Row],[Código Indra]],#REF!,1,FALSE)</f>
        <v>#REF!</v>
      </c>
    </row>
    <row r="386" spans="1:23" ht="45" x14ac:dyDescent="0.25">
      <c r="A386" s="64">
        <v>579</v>
      </c>
      <c r="B386" s="64" t="s">
        <v>138</v>
      </c>
      <c r="C386" s="75" t="s">
        <v>139</v>
      </c>
      <c r="D386" s="64"/>
      <c r="E386" s="75" t="s">
        <v>1389</v>
      </c>
      <c r="F386" s="64">
        <v>1</v>
      </c>
      <c r="G386" s="61" t="s">
        <v>234</v>
      </c>
      <c r="H386" s="64"/>
      <c r="I386" s="61" t="s">
        <v>321</v>
      </c>
      <c r="J386" s="64"/>
      <c r="K386" s="213" t="s">
        <v>214</v>
      </c>
      <c r="L386" s="191"/>
      <c r="M386" s="192"/>
      <c r="N386" s="192"/>
      <c r="O386" s="102"/>
      <c r="P386" s="103" t="str">
        <f>IF(LEFT(B386,5)="09735",
    IF(ISNA(VLOOKUP(Tabla1313[[#This Row],[Apoyo]],'LM SAP'!A:G,1,FALSE)),
        "No Disponible",
        IF(VLOOKUP(Tabla1313[[#This Row],[Apoyo]],'LM SAP'!A:AD,9,FALSE)="RR",
            "Disponible",
            "Firmas SAP"
        )
    ),
    "CONSULTAR"
)</f>
        <v>No Disponible</v>
      </c>
      <c r="Q386" s="65" t="str">
        <f>MID(Tabla1313[[#This Row],[Código Indra]],1,13)</f>
        <v>0973525110000</v>
      </c>
      <c r="R386" t="s">
        <v>255</v>
      </c>
      <c r="S386" s="65" t="str">
        <f>IF(ISNA(VLOOKUP(Tabla1313[[#This Row],[Código Indra]],#REF!,1,FALSE)),"NO", "SI")</f>
        <v>SI</v>
      </c>
      <c r="T386" s="92"/>
      <c r="U386" t="s">
        <v>255</v>
      </c>
      <c r="V386" t="e">
        <f>VLOOKUP(Tabla1313[[#This Row],[Apoyo]],'LM SAP'!A:I,9,FALSE)</f>
        <v>#N/A</v>
      </c>
      <c r="W386" t="e">
        <f>VLOOKUP(Tabla1313[[#This Row],[Código Indra]],#REF!,1,FALSE)</f>
        <v>#REF!</v>
      </c>
    </row>
    <row r="387" spans="1:23" ht="45" x14ac:dyDescent="0.25">
      <c r="A387" s="64">
        <v>580</v>
      </c>
      <c r="B387" s="61" t="s">
        <v>147</v>
      </c>
      <c r="C387" s="76" t="s">
        <v>148</v>
      </c>
      <c r="D387" s="64"/>
      <c r="E387" s="76" t="s">
        <v>1390</v>
      </c>
      <c r="F387" s="64">
        <v>1</v>
      </c>
      <c r="G387" s="61" t="s">
        <v>234</v>
      </c>
      <c r="H387" s="64"/>
      <c r="I387" s="64" t="s">
        <v>276</v>
      </c>
      <c r="J387" s="64"/>
      <c r="K387" s="213" t="s">
        <v>212</v>
      </c>
      <c r="L387" s="191"/>
      <c r="M387" s="192"/>
      <c r="N387" s="192"/>
      <c r="O387" s="102"/>
      <c r="P387" s="103" t="str">
        <f>IF(LEFT(B387,5)="09735",
    IF(ISNA(VLOOKUP(Tabla1313[[#This Row],[Apoyo]],'LM SAP'!A:G,1,FALSE)),
        "No Disponible",
        IF(VLOOKUP(Tabla1313[[#This Row],[Apoyo]],'LM SAP'!A:AD,9,FALSE)="RR",
            "Disponible",
            "Firmas SAP"
        )
    ),
    "CONSULTAR"
)</f>
        <v>No Disponible</v>
      </c>
      <c r="Q387" s="65" t="str">
        <f>MID(Tabla1313[[#This Row],[Código Indra]],1,13)</f>
        <v>0973525160000</v>
      </c>
      <c r="R387" t="s">
        <v>255</v>
      </c>
      <c r="S387" s="65" t="str">
        <f>IF(ISNA(VLOOKUP(Tabla1313[[#This Row],[Código Indra]],#REF!,1,FALSE)),"NO", "SI")</f>
        <v>SI</v>
      </c>
      <c r="T387" s="92"/>
      <c r="U387" t="s">
        <v>255</v>
      </c>
      <c r="V387" t="e">
        <f>VLOOKUP(Tabla1313[[#This Row],[Apoyo]],'LM SAP'!A:I,9,FALSE)</f>
        <v>#N/A</v>
      </c>
      <c r="W387" t="e">
        <f>VLOOKUP(Tabla1313[[#This Row],[Código Indra]],#REF!,1,FALSE)</f>
        <v>#REF!</v>
      </c>
    </row>
    <row r="388" spans="1:23" x14ac:dyDescent="0.25">
      <c r="A388" s="64">
        <v>581</v>
      </c>
      <c r="B388" s="64" t="s">
        <v>1391</v>
      </c>
      <c r="C388" s="75" t="s">
        <v>1392</v>
      </c>
      <c r="D388" s="64"/>
      <c r="E388" s="75" t="s">
        <v>700</v>
      </c>
      <c r="F388" s="64">
        <v>1</v>
      </c>
      <c r="G388" s="61" t="s">
        <v>234</v>
      </c>
      <c r="H388" s="64"/>
      <c r="I388" s="61" t="s">
        <v>251</v>
      </c>
      <c r="J388" s="64"/>
      <c r="K388" s="213" t="s">
        <v>262</v>
      </c>
      <c r="L388" s="191">
        <v>60005126</v>
      </c>
      <c r="M388" s="192">
        <v>45617</v>
      </c>
      <c r="N388" s="192">
        <v>45625</v>
      </c>
      <c r="O388" s="146" t="s">
        <v>281</v>
      </c>
      <c r="P388" s="62" t="str">
        <f>IF(LEFT(B388,5)="09735",
    IF(ISNA(VLOOKUP(Tabla1313[[#This Row],[Apoyo]],'LM SAP'!A:G,1,FALSE)),
        "No Disponible",
        IF(VLOOKUP(Tabla1313[[#This Row],[Apoyo]],'LM SAP'!A:AD,9,FALSE)="RR",
            "Disponible",
            "Firmas SAP"
        )
    ),
    "CONSULTAR"
)</f>
        <v>CONSULTAR</v>
      </c>
      <c r="Q388" s="63" t="str">
        <f>MID(Tabla1313[[#This Row],[Código Indra]],1,13)</f>
        <v>0971725344500</v>
      </c>
      <c r="R388" t="s">
        <v>260</v>
      </c>
      <c r="S388" s="63" t="str">
        <f>IF(ISNA(VLOOKUP(Tabla1313[[#This Row],[Código Indra]],#REF!,1,FALSE)),"NO", "SI")</f>
        <v>SI</v>
      </c>
      <c r="T388" s="58"/>
      <c r="U388" t="s">
        <v>260</v>
      </c>
      <c r="V388" t="e">
        <f>VLOOKUP(Tabla1313[[#This Row],[Apoyo]],'LM SAP'!A:I,9,FALSE)</f>
        <v>#N/A</v>
      </c>
      <c r="W388" t="e">
        <f>VLOOKUP(Tabla1313[[#This Row],[Código Indra]],#REF!,1,FALSE)</f>
        <v>#REF!</v>
      </c>
    </row>
    <row r="389" spans="1:23" ht="45" x14ac:dyDescent="0.25">
      <c r="A389" s="64">
        <v>582</v>
      </c>
      <c r="B389" s="61" t="s">
        <v>1393</v>
      </c>
      <c r="C389" s="76" t="s">
        <v>1394</v>
      </c>
      <c r="D389" s="64"/>
      <c r="E389" s="76" t="s">
        <v>1395</v>
      </c>
      <c r="F389" s="64">
        <v>1</v>
      </c>
      <c r="G389" s="61" t="s">
        <v>234</v>
      </c>
      <c r="H389" s="64"/>
      <c r="I389" s="64" t="s">
        <v>251</v>
      </c>
      <c r="J389" s="64"/>
      <c r="K389" s="213" t="s">
        <v>212</v>
      </c>
      <c r="L389" s="191"/>
      <c r="M389" s="192"/>
      <c r="N389" s="192"/>
      <c r="O389" s="102"/>
      <c r="P389" s="103" t="str">
        <f>IF(LEFT(B389,5)="09735",
    IF(ISNA(VLOOKUP(Tabla1313[[#This Row],[Apoyo]],'LM SAP'!A:G,1,FALSE)),
        "No Disponible",
        IF(VLOOKUP(Tabla1313[[#This Row],[Apoyo]],'LM SAP'!A:AD,9,FALSE)="RR",
            "Disponible",
            "Firmas SAP"
        )
    ),
    "CONSULTAR"
)</f>
        <v>Disponible</v>
      </c>
      <c r="Q389" s="65" t="str">
        <f>MID(Tabla1313[[#This Row],[Código Indra]],1,13)</f>
        <v>0973525334600</v>
      </c>
      <c r="R389" t="s">
        <v>255</v>
      </c>
      <c r="S389" s="65" t="str">
        <f>IF(ISNA(VLOOKUP(Tabla1313[[#This Row],[Código Indra]],#REF!,1,FALSE)),"NO", "SI")</f>
        <v>SI</v>
      </c>
      <c r="T389" s="92"/>
      <c r="U389" t="s">
        <v>255</v>
      </c>
      <c r="V389" t="str">
        <f>VLOOKUP(Tabla1313[[#This Row],[Apoyo]],'LM SAP'!A:I,9,FALSE)</f>
        <v>RR</v>
      </c>
      <c r="W389" t="e">
        <f>VLOOKUP(Tabla1313[[#This Row],[Código Indra]],#REF!,1,FALSE)</f>
        <v>#REF!</v>
      </c>
    </row>
    <row r="390" spans="1:23" x14ac:dyDescent="0.25">
      <c r="A390" s="64">
        <v>583</v>
      </c>
      <c r="B390" s="64" t="s">
        <v>118</v>
      </c>
      <c r="C390" s="75" t="s">
        <v>119</v>
      </c>
      <c r="D390" s="64"/>
      <c r="E390" s="75" t="s">
        <v>700</v>
      </c>
      <c r="F390" s="64">
        <v>1</v>
      </c>
      <c r="G390" s="61" t="s">
        <v>234</v>
      </c>
      <c r="H390" s="64"/>
      <c r="I390" s="64"/>
      <c r="J390" s="64" t="s">
        <v>700</v>
      </c>
      <c r="K390" s="213" t="s">
        <v>213</v>
      </c>
      <c r="L390" s="191"/>
      <c r="M390" s="192"/>
      <c r="N390" s="192"/>
      <c r="O390" s="102"/>
      <c r="P390" s="103" t="str">
        <f>IF(LEFT(B390,5)="09735",
    IF(ISNA(VLOOKUP(Tabla1313[[#This Row],[Apoyo]],'LM SAP'!A:G,1,FALSE)),
        "No Disponible",
        IF(VLOOKUP(Tabla1313[[#This Row],[Apoyo]],'LM SAP'!A:AD,9,FALSE)="RR",
            "Disponible",
            "Firmas SAP"
        )
    ),
    "CONSULTAR"
)</f>
        <v>No Disponible</v>
      </c>
      <c r="Q390" s="65" t="str">
        <f>MID(Tabla1313[[#This Row],[Código Indra]],1,13)</f>
        <v>0973525400000</v>
      </c>
      <c r="R390" t="s">
        <v>255</v>
      </c>
      <c r="S390" s="65" t="str">
        <f>IF(ISNA(VLOOKUP(Tabla1313[[#This Row],[Código Indra]],#REF!,1,FALSE)),"NO", "SI")</f>
        <v>SI</v>
      </c>
      <c r="T390" s="92"/>
      <c r="U390" t="s">
        <v>255</v>
      </c>
      <c r="V390" t="e">
        <f>VLOOKUP(Tabla1313[[#This Row],[Apoyo]],'LM SAP'!A:I,9,FALSE)</f>
        <v>#N/A</v>
      </c>
      <c r="W390" t="e">
        <f>VLOOKUP(Tabla1313[[#This Row],[Código Indra]],#REF!,1,FALSE)</f>
        <v>#REF!</v>
      </c>
    </row>
    <row r="391" spans="1:23" s="130" customFormat="1" ht="72" x14ac:dyDescent="0.25">
      <c r="A391" s="152">
        <v>584</v>
      </c>
      <c r="B391" s="125" t="s">
        <v>1396</v>
      </c>
      <c r="C391" s="153" t="s">
        <v>1397</v>
      </c>
      <c r="D391" s="152" t="s">
        <v>167</v>
      </c>
      <c r="E391" s="153" t="s">
        <v>1398</v>
      </c>
      <c r="F391" s="152">
        <v>1</v>
      </c>
      <c r="G391" s="125" t="s">
        <v>234</v>
      </c>
      <c r="H391" s="152"/>
      <c r="I391" s="152" t="s">
        <v>251</v>
      </c>
      <c r="J391" s="152"/>
      <c r="K391" s="250" t="s">
        <v>215</v>
      </c>
      <c r="L391" s="251">
        <v>60005259</v>
      </c>
      <c r="M391" s="252">
        <v>45631</v>
      </c>
      <c r="N391" s="198"/>
      <c r="O391" s="253" t="s">
        <v>1372</v>
      </c>
      <c r="P391" s="154" t="str">
        <f>IF(LEFT(B391,5)="09735",
    IF(ISNA(VLOOKUP(Tabla1313[[#This Row],[Apoyo]],'LM SAP'!A:G,1,FALSE)),
        "No Disponible",
        IF(VLOOKUP(Tabla1313[[#This Row],[Apoyo]],'LM SAP'!A:AD,9,FALSE)="RR",
            "Disponible",
            "Firmas SAP"
        )
    ),
    "CONSULTAR"
)</f>
        <v>No Disponible</v>
      </c>
      <c r="Q391" s="155" t="str">
        <f>MID(Tabla1313[[#This Row],[Código Indra]],1,13)</f>
        <v>0973544000102</v>
      </c>
      <c r="R391" s="130" t="s">
        <v>255</v>
      </c>
      <c r="S391" s="155" t="str">
        <f>IF(ISNA(VLOOKUP(Tabla1313[[#This Row],[Código Indra]],#REF!,1,FALSE)),"NO", "SI")</f>
        <v>SI</v>
      </c>
      <c r="T391" s="156"/>
      <c r="U391" t="s">
        <v>256</v>
      </c>
      <c r="V391" t="e">
        <f>VLOOKUP(Tabla1313[[#This Row],[Apoyo]],'LM SAP'!A:I,9,FALSE)</f>
        <v>#N/A</v>
      </c>
      <c r="W391" s="130" t="e">
        <f>VLOOKUP(Tabla1313[[#This Row],[Código Indra]],#REF!,1,FALSE)</f>
        <v>#REF!</v>
      </c>
    </row>
    <row r="392" spans="1:23" s="130" customFormat="1" ht="72" x14ac:dyDescent="0.25">
      <c r="A392" s="152">
        <v>585</v>
      </c>
      <c r="B392" s="152" t="s">
        <v>1399</v>
      </c>
      <c r="C392" s="126" t="s">
        <v>1400</v>
      </c>
      <c r="D392" s="125" t="s">
        <v>167</v>
      </c>
      <c r="E392" s="126" t="s">
        <v>1401</v>
      </c>
      <c r="F392" s="152">
        <v>1</v>
      </c>
      <c r="G392" s="125" t="s">
        <v>234</v>
      </c>
      <c r="H392" s="152"/>
      <c r="I392" s="125" t="s">
        <v>251</v>
      </c>
      <c r="J392" s="152"/>
      <c r="K392" s="250" t="s">
        <v>215</v>
      </c>
      <c r="L392" s="251">
        <v>60005259</v>
      </c>
      <c r="M392" s="252">
        <v>45631</v>
      </c>
      <c r="N392" s="198"/>
      <c r="O392" s="253" t="s">
        <v>1372</v>
      </c>
      <c r="P392" s="154" t="str">
        <f>IF(LEFT(B392,5)="09735",
    IF(ISNA(VLOOKUP(Tabla1313[[#This Row],[Apoyo]],'LM SAP'!A:G,1,FALSE)),
        "No Disponible",
        IF(VLOOKUP(Tabla1313[[#This Row],[Apoyo]],'LM SAP'!A:AD,9,FALSE)="RR",
            "Disponible",
            "Firmas SAP"
        )
    ),
    "CONSULTAR"
)</f>
        <v>No Disponible</v>
      </c>
      <c r="Q392" s="155" t="str">
        <f>MID(Tabla1313[[#This Row],[Código Indra]],1,13)</f>
        <v>0973544000120</v>
      </c>
      <c r="R392" s="130" t="s">
        <v>255</v>
      </c>
      <c r="S392" s="155" t="str">
        <f>IF(ISNA(VLOOKUP(Tabla1313[[#This Row],[Código Indra]],#REF!,1,FALSE)),"NO", "SI")</f>
        <v>SI</v>
      </c>
      <c r="T392" s="156"/>
      <c r="U392" t="s">
        <v>256</v>
      </c>
      <c r="V392" t="e">
        <f>VLOOKUP(Tabla1313[[#This Row],[Apoyo]],'LM SAP'!A:I,9,FALSE)</f>
        <v>#N/A</v>
      </c>
      <c r="W392" s="130" t="e">
        <f>VLOOKUP(Tabla1313[[#This Row],[Código Indra]],#REF!,1,FALSE)</f>
        <v>#REF!</v>
      </c>
    </row>
    <row r="393" spans="1:23" x14ac:dyDescent="0.25">
      <c r="A393" s="64">
        <v>586</v>
      </c>
      <c r="B393" s="61" t="s">
        <v>1402</v>
      </c>
      <c r="C393" s="76" t="s">
        <v>1403</v>
      </c>
      <c r="D393" s="64"/>
      <c r="E393" s="76"/>
      <c r="F393" s="64"/>
      <c r="G393" s="61" t="s">
        <v>260</v>
      </c>
      <c r="H393" s="61" t="s">
        <v>261</v>
      </c>
      <c r="I393" s="64" t="s">
        <v>669</v>
      </c>
      <c r="J393" s="64"/>
      <c r="K393" s="213" t="s">
        <v>213</v>
      </c>
      <c r="L393" s="191"/>
      <c r="M393" s="192"/>
      <c r="N393" s="192"/>
      <c r="O393" s="104"/>
      <c r="P393" s="103" t="str">
        <f>IF(LEFT(B393,5)="09735",
    IF(ISNA(VLOOKUP(Tabla1313[[#This Row],[Apoyo]],'LM SAP'!A:G,1,FALSE)),
        "No Disponible",
        IF(VLOOKUP(Tabla1313[[#This Row],[Apoyo]],'LM SAP'!A:AD,9,FALSE)="RR",
            "Disponible",
            "Firmas SAP"
        )
    ),
    "CONSULTAR"
)</f>
        <v>CONSULTAR</v>
      </c>
      <c r="Q393" s="65" t="str">
        <f>MID(Tabla1313[[#This Row],[Código Indra]],1,13)</f>
        <v>0972823305100</v>
      </c>
      <c r="R393" t="s">
        <v>260</v>
      </c>
      <c r="S393" s="65" t="str">
        <f>IF(ISNA(VLOOKUP(Tabla1313[[#This Row],[Código Indra]],#REF!,1,FALSE)),"NO", "SI")</f>
        <v>SI</v>
      </c>
      <c r="T393" s="92"/>
      <c r="U393" t="s">
        <v>260</v>
      </c>
      <c r="V393" t="e">
        <f>VLOOKUP(Tabla1313[[#This Row],[Apoyo]],'LM SAP'!A:I,9,FALSE)</f>
        <v>#N/A</v>
      </c>
      <c r="W393" t="e">
        <f>VLOOKUP(Tabla1313[[#This Row],[Código Indra]],#REF!,1,FALSE)</f>
        <v>#REF!</v>
      </c>
    </row>
  </sheetData>
  <mergeCells count="11">
    <mergeCell ref="J2:L2"/>
    <mergeCell ref="M2:M3"/>
    <mergeCell ref="N2:N3"/>
    <mergeCell ref="O2:O3"/>
    <mergeCell ref="P2:P3"/>
    <mergeCell ref="I2:I3"/>
    <mergeCell ref="C1:E2"/>
    <mergeCell ref="B2:B3"/>
    <mergeCell ref="F2:F3"/>
    <mergeCell ref="G2:G3"/>
    <mergeCell ref="H2:H3"/>
  </mergeCells>
  <conditionalFormatting sqref="K3 J2 K1 K5:K6 K8:K1048576">
    <cfRule type="beginsWith" dxfId="457" priority="11" operator="beginsWith" text="Parada:">
      <formula>LEFT(J1,LEN("Parada:"))="Parada:"</formula>
    </cfRule>
    <cfRule type="beginsWith" dxfId="456" priority="12" operator="beginsWith" text="Calidad">
      <formula>LEFT(J1,LEN("Calidad"))="Calidad"</formula>
    </cfRule>
    <cfRule type="beginsWith" dxfId="455" priority="13" operator="beginsWith" text="Control Producción">
      <formula>LEFT(J1,LEN("Control Producción"))="Control Producción"</formula>
    </cfRule>
    <cfRule type="beginsWith" dxfId="454" priority="14" operator="beginsWith" text="Montaje">
      <formula>LEFT(J1,LEN("Montaje"))="Montaje"</formula>
    </cfRule>
    <cfRule type="beginsWith" dxfId="453" priority="15" operator="beginsWith" text="Finalizada">
      <formula>LEFT(J1,LEN("Finalizada"))="Finalizada"</formula>
    </cfRule>
    <cfRule type="beginsWith" dxfId="452" priority="16" operator="beginsWith" text="Calidad NO OK">
      <formula>LEFT(J1,LEN("Calidad NO OK"))="Calidad NO OK"</formula>
    </cfRule>
    <cfRule type="beginsWith" dxfId="451" priority="17" operator="beginsWith" text="Sin Stock">
      <formula>LEFT(J1,LEN("Sin Stock"))="Sin Stock"</formula>
    </cfRule>
    <cfRule type="beginsWith" dxfId="450" priority="18" operator="beginsWith" text="Ingenieria">
      <formula>LEFT(J1,LEN("Ingenieria"))="Ingenieria"</formula>
    </cfRule>
  </conditionalFormatting>
  <conditionalFormatting sqref="P1:P4 A7:P7 P6 P8:P1048576">
    <cfRule type="beginsWith" dxfId="449" priority="9" operator="beginsWith" text="Disponible">
      <formula>LEFT(A1,LEN("Disponible"))="Disponible"</formula>
    </cfRule>
    <cfRule type="beginsWith" dxfId="448" priority="10" operator="beginsWith" text="No Disponible">
      <formula>LEFT(A1,LEN("No Disponible"))="No Disponible"</formula>
    </cfRule>
  </conditionalFormatting>
  <conditionalFormatting sqref="J3">
    <cfRule type="beginsWith" dxfId="447" priority="1" operator="beginsWith" text="Parada:">
      <formula>LEFT(J3,LEN("Parada:"))="Parada:"</formula>
    </cfRule>
    <cfRule type="beginsWith" dxfId="446" priority="2" operator="beginsWith" text="Calidad">
      <formula>LEFT(J3,LEN("Calidad"))="Calidad"</formula>
    </cfRule>
    <cfRule type="beginsWith" dxfId="445" priority="3" operator="beginsWith" text="Control Producción">
      <formula>LEFT(J3,LEN("Control Producción"))="Control Producción"</formula>
    </cfRule>
    <cfRule type="beginsWith" dxfId="444" priority="4" operator="beginsWith" text="Montaje">
      <formula>LEFT(J3,LEN("Montaje"))="Montaje"</formula>
    </cfRule>
    <cfRule type="beginsWith" dxfId="443" priority="5" operator="beginsWith" text="Finalizada">
      <formula>LEFT(J3,LEN("Finalizada"))="Finalizada"</formula>
    </cfRule>
    <cfRule type="beginsWith" dxfId="442" priority="6" operator="beginsWith" text="Calidad NO OK">
      <formula>LEFT(J3,LEN("Calidad NO OK"))="Calidad NO OK"</formula>
    </cfRule>
    <cfRule type="beginsWith" dxfId="441" priority="7" operator="beginsWith" text="Sin Stock">
      <formula>LEFT(J3,LEN("Sin Stock"))="Sin Stock"</formula>
    </cfRule>
    <cfRule type="beginsWith" dxfId="440" priority="8" operator="beginsWith" text="Ingenieria">
      <formula>LEFT(J3,LEN("Ingenieria"))="Ingenieria"</formula>
    </cfRule>
  </conditionalFormatting>
  <conditionalFormatting sqref="B113:B393 B13:B111">
    <cfRule type="duplicateValues" dxfId="439" priority="19"/>
  </conditionalFormatting>
  <dataValidations count="1">
    <dataValidation type="list" allowBlank="1" showInputMessage="1" showErrorMessage="1" sqref="A10" xr:uid="{BE1C89CE-E0D0-4A5C-9FF2-B9B4F7C19E7F}">
      <formula1>$A$13:$A$393</formula1>
    </dataValidation>
  </dataValidations>
  <pageMargins left="0.25" right="0.25" top="0.75" bottom="0.75" header="0.3" footer="0.3"/>
  <pageSetup paperSize="9" scale="26" fitToHeight="0" orientation="portrait" r:id="rId1"/>
  <drawing r:id="rId2"/>
  <tableParts count="2">
    <tablePart r:id="rId3"/>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EEAADEC3-8562-45AE-AA4B-C8A951B8A537}">
          <x14:formula1>
            <xm:f>Apoyo!$H$2:$H$12</xm:f>
          </x14:formula1>
          <xm:sqref>I13:I393</xm:sqref>
        </x14:dataValidation>
        <x14:dataValidation type="list" allowBlank="1" showInputMessage="1" showErrorMessage="1" xr:uid="{5E7F9F1F-E4CE-4B9D-A1A9-3CA852DB183A}">
          <x14:formula1>
            <xm:f>Apoyo!$A$2:$A$13</xm:f>
          </x14:formula1>
          <xm:sqref>K10 K13:K79 K81:K393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2B4BB-BB79-4847-B5D7-C0ED01A3A1A0}">
  <sheetPr codeName="Hoja19">
    <tabColor theme="8" tint="0.59999389629810485"/>
  </sheetPr>
  <dimension ref="A1:K121"/>
  <sheetViews>
    <sheetView zoomScale="55" zoomScaleNormal="55" workbookViewId="0">
      <selection activeCell="J73" sqref="J73"/>
    </sheetView>
  </sheetViews>
  <sheetFormatPr baseColWidth="10" defaultColWidth="11.42578125" defaultRowHeight="15" x14ac:dyDescent="0.25"/>
  <cols>
    <col min="1" max="1" width="2.42578125" style="4" customWidth="1"/>
    <col min="2" max="2" width="9.42578125" style="4" customWidth="1"/>
    <col min="3" max="3" width="20" style="4" customWidth="1"/>
    <col min="4" max="4" width="23.42578125" style="4" customWidth="1"/>
    <col min="5" max="5" width="44.42578125" style="4" customWidth="1"/>
    <col min="6" max="6" width="38.42578125" style="4" customWidth="1"/>
    <col min="7" max="7" width="46.5703125" style="4" customWidth="1"/>
    <col min="8" max="8" width="17.42578125" style="4" bestFit="1" customWidth="1"/>
    <col min="9" max="9" width="40.42578125" style="4" customWidth="1"/>
    <col min="10" max="10" width="24.5703125" style="4" customWidth="1"/>
    <col min="11" max="11" width="38.5703125" style="4" customWidth="1"/>
    <col min="12" max="16384" width="11.42578125" style="4"/>
  </cols>
  <sheetData>
    <row r="1" spans="1:11" ht="15.75" x14ac:dyDescent="0.25">
      <c r="A1" s="70"/>
      <c r="B1" s="70"/>
      <c r="C1" s="70"/>
      <c r="D1" s="276"/>
      <c r="E1" s="276"/>
      <c r="G1" s="69"/>
      <c r="H1" s="69"/>
      <c r="I1" s="69"/>
      <c r="J1" s="277"/>
      <c r="K1" s="277"/>
    </row>
    <row r="2" spans="1:11" ht="15.75" customHeight="1" x14ac:dyDescent="0.25">
      <c r="C2" s="318" t="s">
        <v>1404</v>
      </c>
      <c r="D2" s="663">
        <f ca="1">TODAY()</f>
        <v>46138</v>
      </c>
      <c r="J2" s="70"/>
      <c r="K2" s="70"/>
    </row>
    <row r="3" spans="1:11" ht="15.75" customHeight="1" x14ac:dyDescent="0.25">
      <c r="C3" s="318" t="s">
        <v>1405</v>
      </c>
      <c r="D3" s="663"/>
      <c r="J3" s="70"/>
      <c r="K3" s="70"/>
    </row>
    <row r="4" spans="1:11" ht="21.75" x14ac:dyDescent="0.35">
      <c r="C4" s="319"/>
      <c r="D4" s="320"/>
      <c r="J4" s="277"/>
      <c r="K4" s="277"/>
    </row>
    <row r="5" spans="1:11" ht="47.25" customHeight="1" x14ac:dyDescent="0.25">
      <c r="C5" s="666" t="s">
        <v>1406</v>
      </c>
      <c r="D5" s="666"/>
      <c r="F5" s="664" t="s">
        <v>1407</v>
      </c>
      <c r="G5" s="664"/>
      <c r="H5" s="329"/>
      <c r="J5" s="277"/>
      <c r="K5" s="277"/>
    </row>
    <row r="6" spans="1:11" ht="8.25" customHeight="1" x14ac:dyDescent="0.35">
      <c r="C6" s="319"/>
      <c r="D6" s="320"/>
      <c r="J6" s="277"/>
      <c r="K6" s="277"/>
    </row>
    <row r="7" spans="1:11" ht="21.75" x14ac:dyDescent="0.25">
      <c r="C7" s="325" t="s">
        <v>1408</v>
      </c>
      <c r="D7" s="322">
        <f>COUNTIF(Tabla2910[ESTADO],"Pendiente")</f>
        <v>52</v>
      </c>
      <c r="J7" s="277"/>
      <c r="K7" s="277"/>
    </row>
    <row r="8" spans="1:11" ht="21.75" x14ac:dyDescent="0.25">
      <c r="C8" s="321" t="s">
        <v>1409</v>
      </c>
      <c r="D8" s="322"/>
      <c r="F8" s="278" t="s">
        <v>1410</v>
      </c>
      <c r="G8" s="279">
        <f>COUNTIF(Tabla13[¿Tiene incidencia?],"SI")</f>
        <v>236</v>
      </c>
      <c r="H8" s="331"/>
      <c r="J8" s="277"/>
      <c r="K8" s="277"/>
    </row>
    <row r="9" spans="1:11" ht="21.75" x14ac:dyDescent="0.25">
      <c r="C9" s="323" t="s">
        <v>1411</v>
      </c>
      <c r="D9" s="322"/>
      <c r="F9" s="280" t="s">
        <v>1412</v>
      </c>
      <c r="G9" s="279" t="e">
        <f>G10-G8</f>
        <v>#REF!</v>
      </c>
      <c r="H9" s="331"/>
      <c r="J9" s="277"/>
      <c r="K9" s="277"/>
    </row>
    <row r="10" spans="1:11" ht="21.75" x14ac:dyDescent="0.25">
      <c r="C10" s="324" t="s">
        <v>1413</v>
      </c>
      <c r="D10" s="322">
        <f>SUM(D7:D9)</f>
        <v>52</v>
      </c>
      <c r="F10" s="281" t="s">
        <v>1414</v>
      </c>
      <c r="G10" s="279" t="e">
        <f>SUM(OPs!#REF!)</f>
        <v>#REF!</v>
      </c>
      <c r="H10" s="331"/>
      <c r="J10" s="277"/>
      <c r="K10" s="277"/>
    </row>
    <row r="11" spans="1:11" ht="15.75" x14ac:dyDescent="0.25">
      <c r="F11" s="281" t="s">
        <v>1415</v>
      </c>
      <c r="G11" s="282" t="e">
        <f>G8/G10</f>
        <v>#REF!</v>
      </c>
      <c r="H11" s="332"/>
      <c r="J11" s="277"/>
      <c r="K11" s="277"/>
    </row>
    <row r="12" spans="1:11" ht="15.75" x14ac:dyDescent="0.25">
      <c r="A12" s="70"/>
      <c r="B12" s="70"/>
      <c r="C12" s="70"/>
      <c r="D12" s="276"/>
      <c r="E12" s="276"/>
      <c r="F12" s="276"/>
      <c r="G12" s="70"/>
      <c r="H12" s="70"/>
      <c r="I12" s="70"/>
      <c r="J12" s="70"/>
      <c r="K12" s="70"/>
    </row>
    <row r="13" spans="1:11" ht="15.75" customHeight="1" x14ac:dyDescent="0.25">
      <c r="A13" s="665"/>
      <c r="B13" s="70"/>
      <c r="C13" s="70"/>
      <c r="D13" s="70"/>
      <c r="E13" s="70"/>
      <c r="F13" s="70"/>
      <c r="G13" s="70"/>
      <c r="H13" s="70"/>
      <c r="I13" s="70"/>
      <c r="J13" s="70"/>
      <c r="K13" s="70"/>
    </row>
    <row r="14" spans="1:11" ht="31.5" customHeight="1" x14ac:dyDescent="0.25">
      <c r="A14" s="665"/>
      <c r="B14" s="326" t="s">
        <v>1416</v>
      </c>
      <c r="C14" s="326" t="s">
        <v>8</v>
      </c>
      <c r="D14" s="326" t="s">
        <v>1417</v>
      </c>
      <c r="E14" s="326" t="s">
        <v>9</v>
      </c>
      <c r="F14" s="326" t="s">
        <v>230</v>
      </c>
      <c r="G14" s="326" t="s">
        <v>1418</v>
      </c>
      <c r="H14" s="326" t="s">
        <v>1419</v>
      </c>
      <c r="I14" s="326" t="s">
        <v>14</v>
      </c>
      <c r="J14" s="327" t="s">
        <v>1420</v>
      </c>
      <c r="K14" s="326" t="s">
        <v>1421</v>
      </c>
    </row>
    <row r="15" spans="1:11" ht="43.5" x14ac:dyDescent="0.25">
      <c r="A15" s="70"/>
      <c r="B15" s="273">
        <v>1</v>
      </c>
      <c r="C15" s="273">
        <f>VLOOKUP(Tabla2910[[#This Row],[Código INDRA]],Tabla13[[Código Indra]:[ID2]],24,FALSE)</f>
        <v>2</v>
      </c>
      <c r="D15" s="274" t="s">
        <v>474</v>
      </c>
      <c r="E15" s="273" t="s">
        <v>1422</v>
      </c>
      <c r="F15" s="275" t="s">
        <v>1423</v>
      </c>
      <c r="G15" s="273" t="s">
        <v>474</v>
      </c>
      <c r="H15" s="275" t="s">
        <v>474</v>
      </c>
      <c r="I15" s="275" t="s">
        <v>1424</v>
      </c>
      <c r="J15" s="273" t="s">
        <v>7</v>
      </c>
      <c r="K15" s="328" t="s">
        <v>474</v>
      </c>
    </row>
    <row r="16" spans="1:11" ht="43.5" x14ac:dyDescent="0.25">
      <c r="A16" s="70"/>
      <c r="B16" s="273">
        <v>2</v>
      </c>
      <c r="C16" s="273">
        <f>VLOOKUP(Tabla2910[[#This Row],[Código INDRA]],Tabla13[[Código Indra]:[ID2]],24,FALSE)</f>
        <v>3</v>
      </c>
      <c r="D16" s="274"/>
      <c r="E16" s="273" t="s">
        <v>97</v>
      </c>
      <c r="F16" s="275" t="s">
        <v>98</v>
      </c>
      <c r="G16" s="273" t="s">
        <v>474</v>
      </c>
      <c r="H16" s="275" t="s">
        <v>474</v>
      </c>
      <c r="I16" s="275" t="s">
        <v>1425</v>
      </c>
      <c r="J16" s="273"/>
      <c r="K16" s="273" t="s">
        <v>1408</v>
      </c>
    </row>
    <row r="17" spans="1:11" ht="43.5" x14ac:dyDescent="0.25">
      <c r="A17" s="70"/>
      <c r="B17" s="273">
        <v>3</v>
      </c>
      <c r="C17" s="273">
        <f>VLOOKUP(Tabla2910[[#This Row],[Código INDRA]],Tabla13[[Código Indra]:[ID2]],24,FALSE)</f>
        <v>4</v>
      </c>
      <c r="D17" s="274">
        <v>45694</v>
      </c>
      <c r="E17" s="273" t="s">
        <v>120</v>
      </c>
      <c r="F17" s="275" t="s">
        <v>121</v>
      </c>
      <c r="G17" s="273" t="s">
        <v>1426</v>
      </c>
      <c r="H17" s="275" t="s">
        <v>6</v>
      </c>
      <c r="I17" s="275" t="s">
        <v>1424</v>
      </c>
      <c r="J17" s="273" t="s">
        <v>1427</v>
      </c>
      <c r="K17" s="328" t="s">
        <v>474</v>
      </c>
    </row>
    <row r="18" spans="1:11" ht="21.75" x14ac:dyDescent="0.25">
      <c r="A18" s="70"/>
      <c r="B18" s="273">
        <v>4</v>
      </c>
      <c r="C18" s="273">
        <f>VLOOKUP(Tabla2910[[#This Row],[Código INDRA]],Tabla13[[Código Indra]:[ID2]],24,FALSE)</f>
        <v>5</v>
      </c>
      <c r="D18" s="274">
        <v>45694</v>
      </c>
      <c r="E18" s="273" t="s">
        <v>257</v>
      </c>
      <c r="F18" s="275" t="s">
        <v>258</v>
      </c>
      <c r="G18" s="273" t="s">
        <v>1428</v>
      </c>
      <c r="H18" s="275" t="s">
        <v>6</v>
      </c>
      <c r="I18" s="275"/>
      <c r="J18" s="273" t="s">
        <v>1427</v>
      </c>
      <c r="K18" s="333" t="s">
        <v>1408</v>
      </c>
    </row>
    <row r="19" spans="1:11" ht="43.5" x14ac:dyDescent="0.25">
      <c r="A19" s="70"/>
      <c r="B19" s="273">
        <v>5</v>
      </c>
      <c r="C19" s="273">
        <f>VLOOKUP(Tabla2910[[#This Row],[Código INDRA]],Tabla13[[Código Indra]:[ID2]],24,FALSE)</f>
        <v>6</v>
      </c>
      <c r="D19" s="274">
        <v>45694</v>
      </c>
      <c r="E19" s="273" t="s">
        <v>264</v>
      </c>
      <c r="F19" s="275" t="s">
        <v>265</v>
      </c>
      <c r="G19" s="273" t="s">
        <v>1429</v>
      </c>
      <c r="H19" s="275" t="s">
        <v>6</v>
      </c>
      <c r="I19" s="275" t="s">
        <v>1424</v>
      </c>
      <c r="J19" s="273" t="s">
        <v>1427</v>
      </c>
      <c r="K19" s="328" t="s">
        <v>474</v>
      </c>
    </row>
    <row r="20" spans="1:11" ht="43.5" x14ac:dyDescent="0.25">
      <c r="A20" s="70"/>
      <c r="B20" s="273">
        <v>6</v>
      </c>
      <c r="C20" s="273">
        <f>VLOOKUP(Tabla2910[[#This Row],[Código INDRA]],Tabla13[[Código Indra]:[ID2]],24,FALSE)</f>
        <v>7</v>
      </c>
      <c r="D20" s="274">
        <v>45694</v>
      </c>
      <c r="E20" s="273" t="s">
        <v>123</v>
      </c>
      <c r="F20" s="275" t="s">
        <v>124</v>
      </c>
      <c r="G20" s="273" t="s">
        <v>474</v>
      </c>
      <c r="H20" s="275" t="s">
        <v>474</v>
      </c>
      <c r="I20" s="275" t="s">
        <v>1424</v>
      </c>
      <c r="J20" s="273" t="s">
        <v>7</v>
      </c>
      <c r="K20" s="273" t="s">
        <v>474</v>
      </c>
    </row>
    <row r="21" spans="1:11" ht="43.5" x14ac:dyDescent="0.25">
      <c r="A21" s="70"/>
      <c r="B21" s="273">
        <v>7</v>
      </c>
      <c r="C21" s="273">
        <f>VLOOKUP(Tabla2910[[#This Row],[Código INDRA]],Tabla13[[Código Indra]:[ID2]],24,FALSE)</f>
        <v>8</v>
      </c>
      <c r="D21" s="274">
        <v>45694</v>
      </c>
      <c r="E21" s="273" t="s">
        <v>125</v>
      </c>
      <c r="F21" s="275" t="s">
        <v>126</v>
      </c>
      <c r="G21" s="273" t="s">
        <v>474</v>
      </c>
      <c r="H21" s="275" t="s">
        <v>474</v>
      </c>
      <c r="I21" s="275" t="s">
        <v>1424</v>
      </c>
      <c r="J21" s="273" t="s">
        <v>7</v>
      </c>
      <c r="K21" s="328" t="s">
        <v>474</v>
      </c>
    </row>
    <row r="22" spans="1:11" ht="87" x14ac:dyDescent="0.25">
      <c r="A22" s="70"/>
      <c r="B22" s="273">
        <v>8</v>
      </c>
      <c r="C22" s="273">
        <f>VLOOKUP(Tabla2910[[#This Row],[Código INDRA]],Tabla13[[Código Indra]:[ID2]],24,FALSE)</f>
        <v>9</v>
      </c>
      <c r="D22" s="274">
        <v>45694</v>
      </c>
      <c r="E22" s="273" t="s">
        <v>127</v>
      </c>
      <c r="F22" s="275" t="s">
        <v>128</v>
      </c>
      <c r="G22" s="273" t="s">
        <v>1430</v>
      </c>
      <c r="H22" s="275" t="s">
        <v>6</v>
      </c>
      <c r="I22" s="275" t="s">
        <v>1431</v>
      </c>
      <c r="J22" s="273"/>
      <c r="K22" s="273" t="s">
        <v>1408</v>
      </c>
    </row>
    <row r="23" spans="1:11" ht="43.5" x14ac:dyDescent="0.25">
      <c r="A23" s="70"/>
      <c r="B23" s="273">
        <v>9</v>
      </c>
      <c r="C23" s="273">
        <f>VLOOKUP(Tabla2910[[#This Row],[Código INDRA]],Tabla13[[Código Indra]:[ID2]],24,FALSE)</f>
        <v>10</v>
      </c>
      <c r="D23" s="274">
        <v>45694</v>
      </c>
      <c r="E23" s="273" t="s">
        <v>268</v>
      </c>
      <c r="F23" s="275" t="s">
        <v>1432</v>
      </c>
      <c r="G23" s="273" t="s">
        <v>1433</v>
      </c>
      <c r="H23" s="275" t="s">
        <v>6</v>
      </c>
      <c r="I23" s="275" t="s">
        <v>1434</v>
      </c>
      <c r="J23" s="273"/>
      <c r="K23" s="328" t="s">
        <v>1408</v>
      </c>
    </row>
    <row r="24" spans="1:11" ht="43.5" x14ac:dyDescent="0.25">
      <c r="A24" s="70"/>
      <c r="B24" s="273">
        <v>10</v>
      </c>
      <c r="C24" s="273">
        <f>VLOOKUP(Tabla2910[[#This Row],[Código INDRA]],Tabla13[[Código Indra]:[ID2]],24,FALSE)</f>
        <v>11</v>
      </c>
      <c r="D24" s="274">
        <v>45694</v>
      </c>
      <c r="E24" s="273" t="s">
        <v>690</v>
      </c>
      <c r="F24" s="275" t="s">
        <v>691</v>
      </c>
      <c r="G24" s="273" t="s">
        <v>1435</v>
      </c>
      <c r="H24" s="275" t="s">
        <v>6</v>
      </c>
      <c r="I24" s="275" t="s">
        <v>1434</v>
      </c>
      <c r="J24" s="273"/>
      <c r="K24" s="273" t="s">
        <v>1408</v>
      </c>
    </row>
    <row r="25" spans="1:11" ht="43.5" x14ac:dyDescent="0.25">
      <c r="A25" s="70"/>
      <c r="B25" s="273">
        <v>11</v>
      </c>
      <c r="C25" s="273">
        <f>VLOOKUP(Tabla2910[[#This Row],[Código INDRA]],Tabla13[[Código Indra]:[ID2]],24,FALSE)</f>
        <v>12</v>
      </c>
      <c r="D25" s="274">
        <v>45694</v>
      </c>
      <c r="E25" s="273" t="s">
        <v>133</v>
      </c>
      <c r="F25" s="275" t="s">
        <v>134</v>
      </c>
      <c r="G25" s="273" t="str">
        <f>_xlfn.CONCAT(MID(Tabla2910[[#This Row],[Código INDRA]],1,13),"IM",MID(Tabla2910[[#This Row],[Código INDRA]],15,2),"_",Tabla2910[[#This Row],[Versión]])</f>
        <v>0973525070000IM00_A0</v>
      </c>
      <c r="H25" s="275" t="s">
        <v>6</v>
      </c>
      <c r="I25" s="275" t="s">
        <v>1434</v>
      </c>
      <c r="J25" s="273" t="s">
        <v>1427</v>
      </c>
      <c r="K25" s="328" t="s">
        <v>1408</v>
      </c>
    </row>
    <row r="26" spans="1:11" ht="43.5" x14ac:dyDescent="0.25">
      <c r="A26" s="70"/>
      <c r="B26" s="273">
        <v>12</v>
      </c>
      <c r="C26" s="273">
        <f>VLOOKUP(Tabla2910[[#This Row],[Código INDRA]],Tabla13[[Código Indra]:[ID2]],24,FALSE)</f>
        <v>13</v>
      </c>
      <c r="D26" s="274">
        <v>45694</v>
      </c>
      <c r="E26" s="273" t="s">
        <v>272</v>
      </c>
      <c r="F26" s="275" t="s">
        <v>273</v>
      </c>
      <c r="G26" s="273" t="str">
        <f>_xlfn.CONCAT(MID(Tabla2910[[#This Row],[Código INDRA]],1,13),"IM",MID(Tabla2910[[#This Row],[Código INDRA]],15,2),"_",Tabla2910[[#This Row],[Versión]])</f>
        <v>0973525070100IM00_A0</v>
      </c>
      <c r="H26" s="275" t="s">
        <v>6</v>
      </c>
      <c r="I26" s="275"/>
      <c r="J26" s="273" t="s">
        <v>7</v>
      </c>
      <c r="K26" s="273" t="s">
        <v>1436</v>
      </c>
    </row>
    <row r="27" spans="1:11" ht="43.5" x14ac:dyDescent="0.25">
      <c r="A27" s="70"/>
      <c r="B27" s="273">
        <v>13</v>
      </c>
      <c r="C27" s="273">
        <f>VLOOKUP(Tabla2910[[#This Row],[Código INDRA]],Tabla13[[Código Indra]:[ID2]],24,FALSE)</f>
        <v>14</v>
      </c>
      <c r="D27" s="274">
        <v>45694</v>
      </c>
      <c r="E27" s="273" t="s">
        <v>1382</v>
      </c>
      <c r="F27" s="275" t="s">
        <v>1383</v>
      </c>
      <c r="G27" s="273" t="str">
        <f>_xlfn.CONCAT(MID(Tabla2910[[#This Row],[Código INDRA]],1,13),"IM",MID(Tabla2910[[#This Row],[Código INDRA]],15,2),"_",Tabla2910[[#This Row],[Versión]])</f>
        <v>0973525070700IM00_A0</v>
      </c>
      <c r="H27" s="275" t="s">
        <v>6</v>
      </c>
      <c r="I27" s="275"/>
      <c r="J27" s="273"/>
      <c r="K27" s="328" t="s">
        <v>1408</v>
      </c>
    </row>
    <row r="28" spans="1:11" ht="43.5" x14ac:dyDescent="0.25">
      <c r="A28" s="70"/>
      <c r="B28" s="273">
        <v>14</v>
      </c>
      <c r="C28" s="273">
        <f>VLOOKUP(Tabla2910[[#This Row],[Código INDRA]],Tabla13[[Código Indra]:[ID2]],24,FALSE)</f>
        <v>15</v>
      </c>
      <c r="D28" s="274">
        <v>45694</v>
      </c>
      <c r="E28" s="273" t="s">
        <v>278</v>
      </c>
      <c r="F28" s="275" t="s">
        <v>279</v>
      </c>
      <c r="G28" s="273" t="str">
        <f>_xlfn.CONCAT(MID(Tabla2910[[#This Row],[Código INDRA]],1,13),"IM",MID(Tabla2910[[#This Row],[Código INDRA]],15,2),"_",Tabla2910[[#This Row],[Versión]])</f>
        <v>0973525072400IM00_A0</v>
      </c>
      <c r="H28" s="275" t="s">
        <v>6</v>
      </c>
      <c r="I28" s="275"/>
      <c r="J28" s="273" t="s">
        <v>7</v>
      </c>
      <c r="K28" s="273" t="s">
        <v>1436</v>
      </c>
    </row>
    <row r="29" spans="1:11" ht="43.5" x14ac:dyDescent="0.25">
      <c r="A29" s="70"/>
      <c r="B29" s="273">
        <v>15</v>
      </c>
      <c r="C29" s="273">
        <f>VLOOKUP(Tabla2910[[#This Row],[Código INDRA]],Tabla13[[Código Indra]:[ID2]],24,FALSE)</f>
        <v>16</v>
      </c>
      <c r="D29" s="274">
        <v>45694</v>
      </c>
      <c r="E29" s="273" t="s">
        <v>1385</v>
      </c>
      <c r="F29" s="275" t="s">
        <v>1386</v>
      </c>
      <c r="G29" s="273" t="str">
        <f>_xlfn.CONCAT(MID(Tabla2910[[#This Row],[Código INDRA]],1,13),"IM",MID(Tabla2910[[#This Row],[Código INDRA]],15,2),"_",Tabla2910[[#This Row],[Versión]])</f>
        <v>0973525070800IM00_A0</v>
      </c>
      <c r="H29" s="275" t="s">
        <v>6</v>
      </c>
      <c r="I29" s="275"/>
      <c r="J29" s="273"/>
      <c r="K29" s="328" t="s">
        <v>1408</v>
      </c>
    </row>
    <row r="30" spans="1:11" ht="21.75" x14ac:dyDescent="0.25">
      <c r="A30" s="70"/>
      <c r="B30" s="273">
        <v>16</v>
      </c>
      <c r="C30" s="273">
        <f>VLOOKUP(Tabla2910[[#This Row],[Código INDRA]],Tabla13[[Código Indra]:[ID2]],24,FALSE)</f>
        <v>17</v>
      </c>
      <c r="D30" s="274">
        <v>45694</v>
      </c>
      <c r="E30" s="273" t="s">
        <v>1055</v>
      </c>
      <c r="F30" s="275" t="s">
        <v>1056</v>
      </c>
      <c r="G30" s="273" t="str">
        <f>_xlfn.CONCAT(MID(Tabla2910[[#This Row],[Código INDRA]],1,13),"IM",MID(Tabla2910[[#This Row],[Código INDRA]],15,2),"_",Tabla2910[[#This Row],[Versión]])</f>
        <v>0973525073300IM00_A0</v>
      </c>
      <c r="H30" s="275" t="s">
        <v>6</v>
      </c>
      <c r="I30" s="275"/>
      <c r="J30" s="273" t="s">
        <v>7</v>
      </c>
      <c r="K30" s="273" t="s">
        <v>1436</v>
      </c>
    </row>
    <row r="31" spans="1:11" ht="43.5" x14ac:dyDescent="0.25">
      <c r="A31" s="70"/>
      <c r="B31" s="273">
        <v>17</v>
      </c>
      <c r="C31" s="273">
        <f>VLOOKUP(Tabla2910[[#This Row],[Código INDRA]],Tabla13[[Código Indra]:[ID2]],24,FALSE)</f>
        <v>18</v>
      </c>
      <c r="D31" s="274">
        <v>45694</v>
      </c>
      <c r="E31" s="273" t="s">
        <v>282</v>
      </c>
      <c r="F31" s="275" t="s">
        <v>283</v>
      </c>
      <c r="G31" s="273" t="str">
        <f>_xlfn.CONCAT(MID(Tabla2910[[#This Row],[Código INDRA]],1,13),"IM",MID(Tabla2910[[#This Row],[Código INDRA]],15,2),"_",Tabla2910[[#This Row],[Versión]])</f>
        <v>0973525071300IM00_A0</v>
      </c>
      <c r="H31" s="275" t="s">
        <v>6</v>
      </c>
      <c r="I31" s="275"/>
      <c r="J31" s="273"/>
      <c r="K31" s="328"/>
    </row>
    <row r="32" spans="1:11" ht="87" x14ac:dyDescent="0.25">
      <c r="A32" s="70"/>
      <c r="B32" s="273">
        <v>18</v>
      </c>
      <c r="C32" s="273">
        <f>VLOOKUP(Tabla2910[[#This Row],[Código INDRA]],Tabla13[[Código Indra]:[ID2]],24,FALSE)</f>
        <v>19</v>
      </c>
      <c r="D32" s="274">
        <v>45694</v>
      </c>
      <c r="E32" s="273" t="s">
        <v>130</v>
      </c>
      <c r="F32" s="275" t="s">
        <v>131</v>
      </c>
      <c r="G32" s="273" t="str">
        <f>_xlfn.CONCAT(MID(Tabla2910[[#This Row],[Código INDRA]],1,13),"IM",MID(Tabla2910[[#This Row],[Código INDRA]],15,2),"_",Tabla2910[[#This Row],[Versión]])</f>
        <v>0973525090000IM00_A0</v>
      </c>
      <c r="H32" s="275" t="s">
        <v>6</v>
      </c>
      <c r="I32" s="275" t="s">
        <v>1431</v>
      </c>
      <c r="J32" s="273"/>
      <c r="K32" s="273" t="s">
        <v>1408</v>
      </c>
    </row>
    <row r="33" spans="1:11" ht="43.5" x14ac:dyDescent="0.25">
      <c r="A33" s="70"/>
      <c r="B33" s="273">
        <v>19</v>
      </c>
      <c r="C33" s="273">
        <f>VLOOKUP(Tabla2910[[#This Row],[Código INDRA]],Tabla13[[Código Indra]:[ID2]],24,FALSE)</f>
        <v>20</v>
      </c>
      <c r="D33" s="274">
        <v>45694</v>
      </c>
      <c r="E33" s="273" t="s">
        <v>286</v>
      </c>
      <c r="F33" s="275" t="s">
        <v>287</v>
      </c>
      <c r="G33" s="273" t="str">
        <f>_xlfn.CONCAT(MID(Tabla2910[[#This Row],[Código INDRA]],1,13),"IM",MID(Tabla2910[[#This Row],[Código INDRA]],15,2),"_",Tabla2910[[#This Row],[Versión]])</f>
        <v>0973525091300IM00_A0</v>
      </c>
      <c r="H33" s="275" t="s">
        <v>6</v>
      </c>
      <c r="I33" s="275"/>
      <c r="J33" s="273" t="s">
        <v>7</v>
      </c>
      <c r="K33" s="328" t="s">
        <v>1436</v>
      </c>
    </row>
    <row r="34" spans="1:11" ht="21.75" x14ac:dyDescent="0.25">
      <c r="A34" s="70"/>
      <c r="B34" s="273">
        <v>20</v>
      </c>
      <c r="C34" s="273">
        <f>VLOOKUP(Tabla2910[[#This Row],[Código INDRA]],Tabla13[[Código Indra]:[ID2]],24,FALSE)</f>
        <v>21</v>
      </c>
      <c r="D34" s="274">
        <v>45694</v>
      </c>
      <c r="E34" s="273" t="s">
        <v>290</v>
      </c>
      <c r="F34" s="275" t="s">
        <v>291</v>
      </c>
      <c r="G34" s="273" t="str">
        <f>_xlfn.CONCAT(MID(Tabla2910[[#This Row],[Código INDRA]],1,13),"IM",MID(Tabla2910[[#This Row],[Código INDRA]],15,2),"_",Tabla2910[[#This Row],[Versión]])</f>
        <v>0973525091400IM00_A0</v>
      </c>
      <c r="H34" s="275" t="s">
        <v>6</v>
      </c>
      <c r="I34" s="275"/>
      <c r="J34" s="273" t="s">
        <v>7</v>
      </c>
      <c r="K34" s="273" t="s">
        <v>1436</v>
      </c>
    </row>
    <row r="35" spans="1:11" ht="21.75" x14ac:dyDescent="0.25">
      <c r="A35" s="70"/>
      <c r="B35" s="273">
        <v>21</v>
      </c>
      <c r="C35" s="273">
        <f>VLOOKUP(Tabla2910[[#This Row],[Código INDRA]],Tabla13[[Código Indra]:[ID2]],24,FALSE)</f>
        <v>22</v>
      </c>
      <c r="D35" s="274">
        <v>45694</v>
      </c>
      <c r="E35" s="273" t="s">
        <v>294</v>
      </c>
      <c r="F35" s="275" t="s">
        <v>295</v>
      </c>
      <c r="G35" s="273" t="str">
        <f>_xlfn.CONCAT(MID(Tabla2910[[#This Row],[Código INDRA]],1,13),"IM",MID(Tabla2910[[#This Row],[Código INDRA]],15,2),"_",Tabla2910[[#This Row],[Versión]])</f>
        <v>0973525091800IM00_A0</v>
      </c>
      <c r="H35" s="275" t="s">
        <v>6</v>
      </c>
      <c r="I35" s="275"/>
      <c r="J35" s="273" t="s">
        <v>7</v>
      </c>
      <c r="K35" s="328" t="s">
        <v>1436</v>
      </c>
    </row>
    <row r="36" spans="1:11" ht="21.75" x14ac:dyDescent="0.25">
      <c r="A36" s="70"/>
      <c r="B36" s="273">
        <v>22</v>
      </c>
      <c r="C36" s="273">
        <f>VLOOKUP(Tabla2910[[#This Row],[Código INDRA]],Tabla13[[Código Indra]:[ID2]],24,FALSE)</f>
        <v>23</v>
      </c>
      <c r="D36" s="274">
        <v>45694</v>
      </c>
      <c r="E36" s="273" t="s">
        <v>297</v>
      </c>
      <c r="F36" s="275" t="s">
        <v>298</v>
      </c>
      <c r="G36" s="273" t="str">
        <f>_xlfn.CONCAT(MID(Tabla2910[[#This Row],[Código INDRA]],1,13),"IM",MID(Tabla2910[[#This Row],[Código INDRA]],15,2),"_",Tabla2910[[#This Row],[Versión]])</f>
        <v>0973525092100IM00_A0</v>
      </c>
      <c r="H36" s="275" t="s">
        <v>6</v>
      </c>
      <c r="I36" s="275"/>
      <c r="J36" s="273" t="s">
        <v>7</v>
      </c>
      <c r="K36" s="273" t="s">
        <v>1436</v>
      </c>
    </row>
    <row r="37" spans="1:11" ht="87" x14ac:dyDescent="0.25">
      <c r="A37" s="70"/>
      <c r="B37" s="273">
        <v>23</v>
      </c>
      <c r="C37" s="273">
        <f>VLOOKUP(Tabla2910[[#This Row],[Código INDRA]],Tabla13[[Código Indra]:[ID2]],24,FALSE)</f>
        <v>24</v>
      </c>
      <c r="D37" s="274">
        <v>45694</v>
      </c>
      <c r="E37" s="273" t="s">
        <v>301</v>
      </c>
      <c r="F37" s="275" t="s">
        <v>302</v>
      </c>
      <c r="G37" s="273" t="str">
        <f>_xlfn.CONCAT(MID(Tabla2910[[#This Row],[Código INDRA]],1,13),"IM",MID(Tabla2910[[#This Row],[Código INDRA]],15,2),"_",Tabla2910[[#This Row],[Versión]])</f>
        <v>0973525092300IM00_A0</v>
      </c>
      <c r="H37" s="275" t="s">
        <v>6</v>
      </c>
      <c r="I37" s="275" t="s">
        <v>1437</v>
      </c>
      <c r="J37" s="273"/>
      <c r="K37" s="328" t="s">
        <v>1408</v>
      </c>
    </row>
    <row r="38" spans="1:11" ht="87" x14ac:dyDescent="0.25">
      <c r="A38" s="70"/>
      <c r="B38" s="273">
        <v>24</v>
      </c>
      <c r="C38" s="273">
        <f>VLOOKUP(Tabla2910[[#This Row],[Código INDRA]],Tabla13[[Código Indra]:[ID2]],24,FALSE)</f>
        <v>25</v>
      </c>
      <c r="D38" s="274">
        <v>45694</v>
      </c>
      <c r="E38" s="273" t="s">
        <v>305</v>
      </c>
      <c r="F38" s="275" t="s">
        <v>306</v>
      </c>
      <c r="G38" s="273" t="str">
        <f>_xlfn.CONCAT(MID(Tabla2910[[#This Row],[Código INDRA]],1,13),"IM",MID(Tabla2910[[#This Row],[Código INDRA]],15,2),"_",Tabla2910[[#This Row],[Versión]])</f>
        <v>0973525092400IM00_A0</v>
      </c>
      <c r="H38" s="275" t="s">
        <v>6</v>
      </c>
      <c r="I38" s="275" t="s">
        <v>1437</v>
      </c>
      <c r="J38" s="273"/>
      <c r="K38" s="273" t="s">
        <v>1408</v>
      </c>
    </row>
    <row r="39" spans="1:11" ht="43.5" x14ac:dyDescent="0.25">
      <c r="A39" s="70"/>
      <c r="B39" s="273">
        <v>25</v>
      </c>
      <c r="C39" s="273">
        <f>VLOOKUP(Tabla2910[[#This Row],[Código INDRA]],Tabla13[[Código Indra]:[ID2]],24,FALSE)</f>
        <v>26</v>
      </c>
      <c r="D39" s="274">
        <v>45694</v>
      </c>
      <c r="E39" s="273" t="s">
        <v>1438</v>
      </c>
      <c r="F39" s="275" t="s">
        <v>1439</v>
      </c>
      <c r="G39" s="273" t="str">
        <f>_xlfn.CONCAT(MID(Tabla2910[[#This Row],[Código INDRA]],1,13),"IM",MID(Tabla2910[[#This Row],[Código INDRA]],15,2),"_",Tabla2910[[#This Row],[Versión]])</f>
        <v>0971725082600IM_A0</v>
      </c>
      <c r="H39" s="275" t="s">
        <v>6</v>
      </c>
      <c r="I39" s="275"/>
      <c r="J39" s="273"/>
      <c r="K39" s="328"/>
    </row>
    <row r="40" spans="1:11" ht="21.75" x14ac:dyDescent="0.25">
      <c r="A40" s="70"/>
      <c r="B40" s="273">
        <v>26</v>
      </c>
      <c r="C40" s="273">
        <f>VLOOKUP(Tabla2910[[#This Row],[Código INDRA]],Tabla13[[Código Indra]:[ID2]],24,FALSE)</f>
        <v>27</v>
      </c>
      <c r="D40" s="274">
        <v>45694</v>
      </c>
      <c r="E40" s="273" t="s">
        <v>136</v>
      </c>
      <c r="F40" s="275" t="s">
        <v>137</v>
      </c>
      <c r="G40" s="273" t="str">
        <f>_xlfn.CONCAT(MID(Tabla2910[[#This Row],[Código INDRA]],1,13),"IM",MID(Tabla2910[[#This Row],[Código INDRA]],15,2),"_",Tabla2910[[#This Row],[Versión]])</f>
        <v>0973525100000IM00_A0</v>
      </c>
      <c r="H40" s="275" t="s">
        <v>6</v>
      </c>
      <c r="I40" s="275"/>
      <c r="J40" s="273"/>
      <c r="K40" s="273"/>
    </row>
    <row r="41" spans="1:11" ht="21.75" x14ac:dyDescent="0.25">
      <c r="A41" s="70"/>
      <c r="B41" s="273">
        <v>27</v>
      </c>
      <c r="C41" s="273">
        <f>VLOOKUP(Tabla2910[[#This Row],[Código INDRA]],Tabla13[[Código Indra]:[ID2]],24,FALSE)</f>
        <v>28</v>
      </c>
      <c r="D41" s="274">
        <v>45694</v>
      </c>
      <c r="E41" s="273" t="s">
        <v>309</v>
      </c>
      <c r="F41" s="275" t="s">
        <v>310</v>
      </c>
      <c r="G41" s="273" t="str">
        <f>_xlfn.CONCAT(MID(Tabla2910[[#This Row],[Código INDRA]],1,13),"IM",MID(Tabla2910[[#This Row],[Código INDRA]],15,2),"_",Tabla2910[[#This Row],[Versión]])</f>
        <v>0973525100100IM00_A0</v>
      </c>
      <c r="H41" s="275" t="s">
        <v>6</v>
      </c>
      <c r="I41" s="275"/>
      <c r="J41" s="273"/>
      <c r="K41" s="328"/>
    </row>
    <row r="42" spans="1:11" ht="21.75" x14ac:dyDescent="0.25">
      <c r="A42" s="70"/>
      <c r="B42" s="273">
        <v>28</v>
      </c>
      <c r="C42" s="273">
        <f>VLOOKUP(Tabla2910[[#This Row],[Código INDRA]],Tabla13[[Código Indra]:[ID2]],24,FALSE)</f>
        <v>29</v>
      </c>
      <c r="D42" s="274">
        <v>45694</v>
      </c>
      <c r="E42" s="273" t="s">
        <v>313</v>
      </c>
      <c r="F42" s="275" t="s">
        <v>314</v>
      </c>
      <c r="G42" s="273" t="str">
        <f>_xlfn.CONCAT(MID(Tabla2910[[#This Row],[Código INDRA]],1,13),"IM",MID(Tabla2910[[#This Row],[Código INDRA]],15,2),"_",Tabla2910[[#This Row],[Versión]])</f>
        <v>0973525100200IM00_A0</v>
      </c>
      <c r="H42" s="275" t="s">
        <v>6</v>
      </c>
      <c r="I42" s="275"/>
      <c r="J42" s="273"/>
      <c r="K42" s="273"/>
    </row>
    <row r="43" spans="1:11" ht="21.75" x14ac:dyDescent="0.25">
      <c r="A43" s="70"/>
      <c r="B43" s="273">
        <v>29</v>
      </c>
      <c r="C43" s="273">
        <f>VLOOKUP(Tabla2910[[#This Row],[Código INDRA]],Tabla13[[Código Indra]:[ID2]],24,FALSE)</f>
        <v>30</v>
      </c>
      <c r="D43" s="274"/>
      <c r="E43" s="273" t="s">
        <v>138</v>
      </c>
      <c r="F43" s="275" t="s">
        <v>139</v>
      </c>
      <c r="G43" s="273" t="str">
        <f>_xlfn.CONCAT(MID(Tabla2910[[#This Row],[Código INDRA]],1,13),"IM",MID(Tabla2910[[#This Row],[Código INDRA]],15,2),"_",Tabla2910[[#This Row],[Versión]])</f>
        <v>0973525110000IM00_A0</v>
      </c>
      <c r="H43" s="275" t="s">
        <v>6</v>
      </c>
      <c r="I43" s="275"/>
      <c r="J43" s="273"/>
      <c r="K43" s="328"/>
    </row>
    <row r="44" spans="1:11" ht="21.75" x14ac:dyDescent="0.25">
      <c r="A44" s="70"/>
      <c r="B44" s="273">
        <v>30</v>
      </c>
      <c r="C44" s="273">
        <f>VLOOKUP(Tabla2910[[#This Row],[Código INDRA]],Tabla13[[Código Indra]:[ID2]],24,FALSE)</f>
        <v>31</v>
      </c>
      <c r="D44" s="274"/>
      <c r="E44" s="273" t="s">
        <v>317</v>
      </c>
      <c r="F44" s="275" t="s">
        <v>318</v>
      </c>
      <c r="G44" s="273" t="str">
        <f>_xlfn.CONCAT(MID(Tabla2910[[#This Row],[Código INDRA]],1,13),"IM",MID(Tabla2910[[#This Row],[Código INDRA]],15,2),"_",Tabla2910[[#This Row],[Versión]])</f>
        <v>0973525110100IM00_A0</v>
      </c>
      <c r="H44" s="275" t="s">
        <v>6</v>
      </c>
      <c r="I44" s="275"/>
      <c r="J44" s="273"/>
      <c r="K44" s="273"/>
    </row>
    <row r="45" spans="1:11" ht="21.75" x14ac:dyDescent="0.25">
      <c r="A45" s="70"/>
      <c r="B45" s="273">
        <v>31</v>
      </c>
      <c r="C45" s="273">
        <f>VLOOKUP(Tabla2910[[#This Row],[Código INDRA]],Tabla13[[Código Indra]:[ID2]],24,FALSE)</f>
        <v>33</v>
      </c>
      <c r="D45" s="274"/>
      <c r="E45" s="273" t="s">
        <v>323</v>
      </c>
      <c r="F45" s="275" t="s">
        <v>324</v>
      </c>
      <c r="G45" s="273" t="str">
        <f>_xlfn.CONCAT(MID(Tabla2910[[#This Row],[Código INDRA]],1,13),"IM",MID(Tabla2910[[#This Row],[Código INDRA]],15,2),"_",Tabla2910[[#This Row],[Versión]])</f>
        <v>0973525110200IM00_A0</v>
      </c>
      <c r="H45" s="275" t="s">
        <v>6</v>
      </c>
      <c r="I45" s="275"/>
      <c r="J45" s="273"/>
      <c r="K45" s="328"/>
    </row>
    <row r="46" spans="1:11" ht="43.5" x14ac:dyDescent="0.25">
      <c r="A46" s="70"/>
      <c r="B46" s="273">
        <v>32</v>
      </c>
      <c r="C46" s="273">
        <f>VLOOKUP(Tabla2910[[#This Row],[Código INDRA]],Tabla13[[Código Indra]:[ID2]],24,FALSE)</f>
        <v>34</v>
      </c>
      <c r="D46" s="274"/>
      <c r="E46" s="273" t="s">
        <v>327</v>
      </c>
      <c r="F46" s="275" t="s">
        <v>328</v>
      </c>
      <c r="G46" s="273" t="str">
        <f>_xlfn.CONCAT(MID(Tabla2910[[#This Row],[Código INDRA]],1,13),"IM",MID(Tabla2910[[#This Row],[Código INDRA]],15,2),"_",Tabla2910[[#This Row],[Versión]])</f>
        <v>0973525110300IM00_A0</v>
      </c>
      <c r="H46" s="275" t="s">
        <v>6</v>
      </c>
      <c r="I46" s="275"/>
      <c r="J46" s="273"/>
      <c r="K46" s="273"/>
    </row>
    <row r="47" spans="1:11" ht="43.5" x14ac:dyDescent="0.25">
      <c r="A47" s="70"/>
      <c r="B47" s="273">
        <v>33</v>
      </c>
      <c r="C47" s="273">
        <f>VLOOKUP(Tabla2910[[#This Row],[Código INDRA]],Tabla13[[Código Indra]:[ID2]],24,FALSE)</f>
        <v>35</v>
      </c>
      <c r="D47" s="274"/>
      <c r="E47" s="273" t="s">
        <v>331</v>
      </c>
      <c r="F47" s="275" t="s">
        <v>332</v>
      </c>
      <c r="G47" s="273" t="str">
        <f>_xlfn.CONCAT(MID(Tabla2910[[#This Row],[Código INDRA]],1,13),"IM",MID(Tabla2910[[#This Row],[Código INDRA]],15,2),"_",Tabla2910[[#This Row],[Versión]])</f>
        <v>0973525110400IM00_A0</v>
      </c>
      <c r="H47" s="275" t="s">
        <v>6</v>
      </c>
      <c r="I47" s="275"/>
      <c r="J47" s="273" t="s">
        <v>7</v>
      </c>
      <c r="K47" s="328" t="s">
        <v>1436</v>
      </c>
    </row>
    <row r="48" spans="1:11" ht="21.75" x14ac:dyDescent="0.25">
      <c r="A48" s="70"/>
      <c r="B48" s="273">
        <v>34</v>
      </c>
      <c r="C48" s="273">
        <f>VLOOKUP(Tabla2910[[#This Row],[Código INDRA]],Tabla13[[Código Indra]:[ID2]],24,FALSE)</f>
        <v>36</v>
      </c>
      <c r="D48" s="274"/>
      <c r="E48" s="273" t="s">
        <v>334</v>
      </c>
      <c r="F48" s="275" t="s">
        <v>335</v>
      </c>
      <c r="G48" s="273" t="str">
        <f>_xlfn.CONCAT(MID(Tabla2910[[#This Row],[Código INDRA]],1,13),"IM",MID(Tabla2910[[#This Row],[Código INDRA]],15,2),"_",Tabla2910[[#This Row],[Versión]])</f>
        <v>0973525110500IM00_A0</v>
      </c>
      <c r="H48" s="275" t="s">
        <v>6</v>
      </c>
      <c r="I48" s="275"/>
      <c r="J48" s="273" t="s">
        <v>7</v>
      </c>
      <c r="K48" s="273" t="s">
        <v>1436</v>
      </c>
    </row>
    <row r="49" spans="1:11" ht="43.5" x14ac:dyDescent="0.25">
      <c r="A49" s="70"/>
      <c r="B49" s="273">
        <v>35</v>
      </c>
      <c r="C49" s="273">
        <f>VLOOKUP(Tabla2910[[#This Row],[Código INDRA]],Tabla13[[Código Indra]:[ID2]],24,FALSE)</f>
        <v>37</v>
      </c>
      <c r="D49" s="274"/>
      <c r="E49" s="273" t="s">
        <v>338</v>
      </c>
      <c r="F49" s="275" t="s">
        <v>339</v>
      </c>
      <c r="G49" s="273" t="str">
        <f>_xlfn.CONCAT(MID(Tabla2910[[#This Row],[Código INDRA]],1,13),"IM",MID(Tabla2910[[#This Row],[Código INDRA]],15,2),"_",Tabla2910[[#This Row],[Versión]])</f>
        <v>0973525110600IM00_A0</v>
      </c>
      <c r="H49" s="275" t="s">
        <v>6</v>
      </c>
      <c r="I49" s="275"/>
      <c r="J49" s="273" t="s">
        <v>7</v>
      </c>
      <c r="K49" s="328" t="s">
        <v>1436</v>
      </c>
    </row>
    <row r="50" spans="1:11" ht="21.75" x14ac:dyDescent="0.25">
      <c r="A50" s="70"/>
      <c r="B50" s="273">
        <v>36</v>
      </c>
      <c r="C50" s="273">
        <f>VLOOKUP(Tabla2910[[#This Row],[Código INDRA]],Tabla13[[Código Indra]:[ID2]],24,FALSE)</f>
        <v>38</v>
      </c>
      <c r="D50" s="274"/>
      <c r="E50" s="273" t="s">
        <v>342</v>
      </c>
      <c r="F50" s="275" t="s">
        <v>343</v>
      </c>
      <c r="G50" s="273" t="str">
        <f>_xlfn.CONCAT(MID(Tabla2910[[#This Row],[Código INDRA]],1,13),"IM",MID(Tabla2910[[#This Row],[Código INDRA]],15,2),"_",Tabla2910[[#This Row],[Versión]])</f>
        <v>0973525110700IM00_A0</v>
      </c>
      <c r="H50" s="275" t="s">
        <v>6</v>
      </c>
      <c r="I50" s="275"/>
      <c r="J50" s="273"/>
      <c r="K50" s="273"/>
    </row>
    <row r="51" spans="1:11" ht="21.75" x14ac:dyDescent="0.25">
      <c r="A51" s="70"/>
      <c r="B51" s="273">
        <v>37</v>
      </c>
      <c r="C51" s="273">
        <f>VLOOKUP(Tabla2910[[#This Row],[Código INDRA]],Tabla13[[Código Indra]:[ID2]],24,FALSE)</f>
        <v>39</v>
      </c>
      <c r="D51" s="274"/>
      <c r="E51" s="273" t="s">
        <v>346</v>
      </c>
      <c r="F51" s="275" t="s">
        <v>347</v>
      </c>
      <c r="G51" s="273" t="str">
        <f>_xlfn.CONCAT(MID(Tabla2910[[#This Row],[Código INDRA]],1,13),"IM",MID(Tabla2910[[#This Row],[Código INDRA]],15,2),"_",Tabla2910[[#This Row],[Versión]])</f>
        <v>0973525110800IM00_A0</v>
      </c>
      <c r="H51" s="275" t="s">
        <v>6</v>
      </c>
      <c r="I51" s="275"/>
      <c r="J51" s="273"/>
      <c r="K51" s="328"/>
    </row>
    <row r="52" spans="1:11" ht="21.75" x14ac:dyDescent="0.25">
      <c r="A52" s="70"/>
      <c r="B52" s="273">
        <v>38</v>
      </c>
      <c r="C52" s="273">
        <f>VLOOKUP(Tabla2910[[#This Row],[Código INDRA]],Tabla13[[Código Indra]:[ID2]],24,FALSE)</f>
        <v>40</v>
      </c>
      <c r="D52" s="274"/>
      <c r="E52" s="273" t="s">
        <v>350</v>
      </c>
      <c r="F52" s="275" t="s">
        <v>351</v>
      </c>
      <c r="G52" s="273" t="str">
        <f>_xlfn.CONCAT(MID(Tabla2910[[#This Row],[Código INDRA]],1,13),"IM",MID(Tabla2910[[#This Row],[Código INDRA]],15,2),"_",Tabla2910[[#This Row],[Versión]])</f>
        <v>0973525110900IM00_A0</v>
      </c>
      <c r="H52" s="275" t="s">
        <v>6</v>
      </c>
      <c r="I52" s="275"/>
      <c r="J52" s="273"/>
      <c r="K52" s="273"/>
    </row>
    <row r="53" spans="1:11" ht="43.5" x14ac:dyDescent="0.25">
      <c r="A53" s="70"/>
      <c r="B53" s="273">
        <v>39</v>
      </c>
      <c r="C53" s="273">
        <f>VLOOKUP(Tabla2910[[#This Row],[Código INDRA]],Tabla13[[Código Indra]:[ID2]],24,FALSE)</f>
        <v>41</v>
      </c>
      <c r="D53" s="274"/>
      <c r="E53" s="273" t="s">
        <v>354</v>
      </c>
      <c r="F53" s="275" t="s">
        <v>355</v>
      </c>
      <c r="G53" s="273" t="str">
        <f>_xlfn.CONCAT(MID(Tabla2910[[#This Row],[Código INDRA]],1,13),"IM",MID(Tabla2910[[#This Row],[Código INDRA]],15,2),"_",Tabla2910[[#This Row],[Versión]])</f>
        <v>0973525111000IM00_A0</v>
      </c>
      <c r="H53" s="275" t="s">
        <v>6</v>
      </c>
      <c r="I53" s="275"/>
      <c r="J53" s="273"/>
      <c r="K53" s="328"/>
    </row>
    <row r="54" spans="1:11" ht="21.75" x14ac:dyDescent="0.25">
      <c r="A54" s="70"/>
      <c r="B54" s="273">
        <v>40</v>
      </c>
      <c r="C54" s="273">
        <f>VLOOKUP(Tabla2910[[#This Row],[Código INDRA]],Tabla13[[Código Indra]:[ID2]],24,FALSE)</f>
        <v>42</v>
      </c>
      <c r="D54" s="274"/>
      <c r="E54" s="273" t="s">
        <v>358</v>
      </c>
      <c r="F54" s="275" t="s">
        <v>359</v>
      </c>
      <c r="G54" s="273" t="str">
        <f>_xlfn.CONCAT(MID(Tabla2910[[#This Row],[Código INDRA]],1,13),"IM",MID(Tabla2910[[#This Row],[Código INDRA]],15,2),"_",Tabla2910[[#This Row],[Versión]])</f>
        <v>0973525111100IM00_A0</v>
      </c>
      <c r="H54" s="275" t="s">
        <v>6</v>
      </c>
      <c r="I54" s="275"/>
      <c r="J54" s="273"/>
      <c r="K54" s="273"/>
    </row>
    <row r="55" spans="1:11" ht="21.75" x14ac:dyDescent="0.25">
      <c r="A55" s="70"/>
      <c r="B55" s="273">
        <v>41</v>
      </c>
      <c r="C55" s="273">
        <f>VLOOKUP(Tabla2910[[#This Row],[Código INDRA]],Tabla13[[Código Indra]:[ID2]],24,FALSE)</f>
        <v>43</v>
      </c>
      <c r="D55" s="274"/>
      <c r="E55" s="273" t="s">
        <v>362</v>
      </c>
      <c r="F55" s="275" t="s">
        <v>363</v>
      </c>
      <c r="G55" s="273" t="str">
        <f>_xlfn.CONCAT(MID(Tabla2910[[#This Row],[Código INDRA]],1,13),"IM",MID(Tabla2910[[#This Row],[Código INDRA]],15,2),"_",Tabla2910[[#This Row],[Versión]])</f>
        <v>0973525111200IM00_A0</v>
      </c>
      <c r="H55" s="275" t="s">
        <v>6</v>
      </c>
      <c r="I55" s="275"/>
      <c r="J55" s="273"/>
      <c r="K55" s="328"/>
    </row>
    <row r="56" spans="1:11" ht="43.5" x14ac:dyDescent="0.25">
      <c r="A56" s="70"/>
      <c r="B56" s="273">
        <v>42</v>
      </c>
      <c r="C56" s="273">
        <f>VLOOKUP(Tabla2910[[#This Row],[Código INDRA]],Tabla13[[Código Indra]:[ID2]],24,FALSE)</f>
        <v>44</v>
      </c>
      <c r="D56" s="274"/>
      <c r="E56" s="273" t="s">
        <v>366</v>
      </c>
      <c r="F56" s="275" t="s">
        <v>367</v>
      </c>
      <c r="G56" s="273" t="str">
        <f>_xlfn.CONCAT(MID(Tabla2910[[#This Row],[Código INDRA]],1,13),"IM",MID(Tabla2910[[#This Row],[Código INDRA]],15,2),"_",Tabla2910[[#This Row],[Versión]])</f>
        <v>0973525111500IM00_A0</v>
      </c>
      <c r="H56" s="275" t="s">
        <v>6</v>
      </c>
      <c r="I56" s="275"/>
      <c r="J56" s="273"/>
      <c r="K56" s="273"/>
    </row>
    <row r="57" spans="1:11" ht="43.5" x14ac:dyDescent="0.25">
      <c r="A57" s="70"/>
      <c r="B57" s="273">
        <v>43</v>
      </c>
      <c r="C57" s="273">
        <f>VLOOKUP(Tabla2910[[#This Row],[Código INDRA]],Tabla13[[Código Indra]:[ID2]],24,FALSE)</f>
        <v>45</v>
      </c>
      <c r="D57" s="274"/>
      <c r="E57" s="273" t="s">
        <v>370</v>
      </c>
      <c r="F57" s="275" t="s">
        <v>371</v>
      </c>
      <c r="G57" s="273" t="s">
        <v>1440</v>
      </c>
      <c r="H57" s="275" t="s">
        <v>6</v>
      </c>
      <c r="I57" s="275"/>
      <c r="J57" s="273"/>
      <c r="K57" s="328"/>
    </row>
    <row r="58" spans="1:11" ht="21.75" x14ac:dyDescent="0.25">
      <c r="A58" s="70"/>
      <c r="B58" s="273">
        <v>44</v>
      </c>
      <c r="C58" s="273">
        <f>VLOOKUP(Tabla2910[[#This Row],[Código INDRA]],Tabla13[[Código Indra]:[ID2]],24,FALSE)</f>
        <v>46</v>
      </c>
      <c r="D58" s="274"/>
      <c r="E58" s="273" t="s">
        <v>374</v>
      </c>
      <c r="F58" s="275" t="s">
        <v>375</v>
      </c>
      <c r="G58" s="273" t="str">
        <f>_xlfn.CONCAT(MID(Tabla2910[[#This Row],[Código INDRA]],1,13),"IM",MID(Tabla2910[[#This Row],[Código INDRA]],15,2),"_",Tabla2910[[#This Row],[Versión]])</f>
        <v>0973525111700IM00_A0</v>
      </c>
      <c r="H58" s="275" t="s">
        <v>6</v>
      </c>
      <c r="I58" s="275"/>
      <c r="J58" s="273"/>
      <c r="K58" s="273"/>
    </row>
    <row r="59" spans="1:11" ht="21.75" x14ac:dyDescent="0.25">
      <c r="A59" s="70"/>
      <c r="B59" s="273">
        <v>45</v>
      </c>
      <c r="C59" s="273">
        <f>VLOOKUP(Tabla2910[[#This Row],[Código INDRA]],Tabla13[[Código Indra]:[ID2]],24,FALSE)</f>
        <v>47</v>
      </c>
      <c r="D59" s="274"/>
      <c r="E59" s="273" t="s">
        <v>378</v>
      </c>
      <c r="F59" s="275" t="s">
        <v>379</v>
      </c>
      <c r="G59" s="273" t="str">
        <f>_xlfn.CONCAT(MID(Tabla2910[[#This Row],[Código INDRA]],1,13),"IM",MID(Tabla2910[[#This Row],[Código INDRA]],15,2),"_",Tabla2910[[#This Row],[Versión]])</f>
        <v>0973525112000IM00_A0</v>
      </c>
      <c r="H59" s="275" t="s">
        <v>6</v>
      </c>
      <c r="I59" s="275"/>
      <c r="J59" s="273" t="s">
        <v>7</v>
      </c>
      <c r="K59" s="328" t="s">
        <v>1436</v>
      </c>
    </row>
    <row r="60" spans="1:11" ht="43.5" x14ac:dyDescent="0.25">
      <c r="A60" s="70"/>
      <c r="B60" s="273">
        <v>46</v>
      </c>
      <c r="C60" s="273">
        <f>VLOOKUP(Tabla2910[[#This Row],[Código INDRA]],Tabla13[[Código Indra]:[ID2]],24,FALSE)</f>
        <v>48</v>
      </c>
      <c r="D60" s="274"/>
      <c r="E60" s="273" t="s">
        <v>381</v>
      </c>
      <c r="F60" s="275" t="s">
        <v>382</v>
      </c>
      <c r="G60" s="273" t="str">
        <f>_xlfn.CONCAT(MID(Tabla2910[[#This Row],[Código INDRA]],1,13),"IM",MID(Tabla2910[[#This Row],[Código INDRA]],15,2),"_",Tabla2910[[#This Row],[Versión]])</f>
        <v>0973525112300IM00_A0</v>
      </c>
      <c r="H60" s="275" t="s">
        <v>6</v>
      </c>
      <c r="I60" s="275"/>
      <c r="J60" s="273"/>
      <c r="K60" s="273"/>
    </row>
    <row r="61" spans="1:11" ht="43.5" x14ac:dyDescent="0.25">
      <c r="A61" s="70"/>
      <c r="B61" s="273">
        <v>47</v>
      </c>
      <c r="C61" s="273">
        <f>VLOOKUP(Tabla2910[[#This Row],[Código INDRA]],Tabla13[[Código Indra]:[ID2]],24,FALSE)</f>
        <v>49</v>
      </c>
      <c r="D61" s="274"/>
      <c r="E61" s="273" t="s">
        <v>694</v>
      </c>
      <c r="F61" s="275" t="s">
        <v>1441</v>
      </c>
      <c r="G61" s="273" t="str">
        <f>_xlfn.CONCAT(MID(Tabla2910[[#This Row],[Código INDRA]],1,13),"IM",MID(Tabla2910[[#This Row],[Código INDRA]],15,2),"_",Tabla2910[[#This Row],[Versión]])</f>
        <v>0973525113000IM00_A0</v>
      </c>
      <c r="H61" s="275" t="s">
        <v>6</v>
      </c>
      <c r="I61" s="275"/>
      <c r="J61" s="273"/>
      <c r="K61" s="328"/>
    </row>
    <row r="62" spans="1:11" ht="43.5" x14ac:dyDescent="0.25">
      <c r="A62" s="70"/>
      <c r="B62" s="273">
        <v>48</v>
      </c>
      <c r="C62" s="273">
        <f>VLOOKUP(Tabla2910[[#This Row],[Código INDRA]],Tabla13[[Código Indra]:[ID2]],24,FALSE)</f>
        <v>50</v>
      </c>
      <c r="D62" s="274"/>
      <c r="E62" s="273" t="s">
        <v>698</v>
      </c>
      <c r="F62" s="275" t="s">
        <v>699</v>
      </c>
      <c r="G62" s="273" t="str">
        <f>_xlfn.CONCAT(MID(Tabla2910[[#This Row],[Código INDRA]],1,13),"IM",MID(Tabla2910[[#This Row],[Código INDRA]],15,2),"_",Tabla2910[[#This Row],[Versión]])</f>
        <v>0973525113100IM00_A0</v>
      </c>
      <c r="H62" s="275" t="s">
        <v>6</v>
      </c>
      <c r="I62" s="275"/>
      <c r="J62" s="273"/>
      <c r="K62" s="273"/>
    </row>
    <row r="63" spans="1:11" ht="21.75" x14ac:dyDescent="0.25">
      <c r="A63" s="70"/>
      <c r="B63" s="273">
        <v>49</v>
      </c>
      <c r="C63" s="273">
        <f>VLOOKUP(Tabla2910[[#This Row],[Código INDRA]],Tabla13[[Código Indra]:[ID2]],24,FALSE)</f>
        <v>51</v>
      </c>
      <c r="D63" s="274"/>
      <c r="E63" s="273" t="s">
        <v>607</v>
      </c>
      <c r="F63" s="275" t="s">
        <v>608</v>
      </c>
      <c r="G63" s="273" t="str">
        <f>_xlfn.CONCAT(MID(Tabla2910[[#This Row],[Código INDRA]],1,13),"IM",MID(Tabla2910[[#This Row],[Código INDRA]],15,2),"_",Tabla2910[[#This Row],[Versión]])</f>
        <v>0973525133000IM00_A0</v>
      </c>
      <c r="H63" s="275" t="s">
        <v>6</v>
      </c>
      <c r="I63" s="275"/>
      <c r="J63" s="273"/>
      <c r="K63" s="328"/>
    </row>
    <row r="64" spans="1:11" ht="21.75" x14ac:dyDescent="0.25">
      <c r="A64" s="70"/>
      <c r="B64" s="273">
        <v>50</v>
      </c>
      <c r="C64" s="273">
        <f>VLOOKUP(Tabla2910[[#This Row],[Código INDRA]],Tabla13[[Código Indra]:[ID2]],24,FALSE)</f>
        <v>52</v>
      </c>
      <c r="D64" s="274"/>
      <c r="E64" s="273" t="s">
        <v>704</v>
      </c>
      <c r="F64" s="275" t="s">
        <v>705</v>
      </c>
      <c r="G64" s="273" t="str">
        <f>_xlfn.CONCAT(MID(Tabla2910[[#This Row],[Código INDRA]],1,13),"IM",MID(Tabla2910[[#This Row],[Código INDRA]],15,2),"_",Tabla2910[[#This Row],[Versión]])</f>
        <v>0973525139000IM00_A0</v>
      </c>
      <c r="H64" s="275" t="s">
        <v>6</v>
      </c>
      <c r="I64" s="275"/>
      <c r="J64" s="273"/>
      <c r="K64" s="273"/>
    </row>
    <row r="65" spans="1:11" ht="21.75" x14ac:dyDescent="0.25">
      <c r="A65" s="70"/>
      <c r="B65" s="273">
        <v>51</v>
      </c>
      <c r="C65" s="273">
        <f>VLOOKUP(Tabla2910[[#This Row],[Código INDRA]],Tabla13[[Código Indra]:[ID2]],24,FALSE)</f>
        <v>53</v>
      </c>
      <c r="D65" s="274"/>
      <c r="E65" s="273" t="s">
        <v>385</v>
      </c>
      <c r="F65" s="275" t="s">
        <v>386</v>
      </c>
      <c r="G65" s="273" t="str">
        <f>_xlfn.CONCAT(MID(Tabla2910[[#This Row],[Código INDRA]],1,13),"IM",MID(Tabla2910[[#This Row],[Código INDRA]],15,2),"_",Tabla2910[[#This Row],[Versión]])</f>
        <v>0973525140000IM00_A0</v>
      </c>
      <c r="H65" s="275" t="s">
        <v>6</v>
      </c>
      <c r="I65" s="275"/>
      <c r="J65" s="273"/>
      <c r="K65" s="328"/>
    </row>
    <row r="66" spans="1:11" ht="21.75" x14ac:dyDescent="0.25">
      <c r="A66" s="70"/>
      <c r="B66" s="273">
        <v>52</v>
      </c>
      <c r="C66" s="273">
        <f>VLOOKUP(Tabla2910[[#This Row],[Código INDRA]],Tabla13[[Código Indra]:[ID2]],24,FALSE)</f>
        <v>54</v>
      </c>
      <c r="D66" s="274"/>
      <c r="E66" s="273" t="s">
        <v>141</v>
      </c>
      <c r="F66" s="275" t="s">
        <v>142</v>
      </c>
      <c r="G66" s="273" t="str">
        <f>_xlfn.CONCAT(MID(Tabla2910[[#This Row],[Código INDRA]],1,13),"IM",MID(Tabla2910[[#This Row],[Código INDRA]],15,2),"_",Tabla2910[[#This Row],[Versión]])</f>
        <v>0973525135000IM00_A0</v>
      </c>
      <c r="H66" s="275" t="s">
        <v>6</v>
      </c>
      <c r="I66" s="275"/>
      <c r="J66" s="273"/>
      <c r="K66" s="273"/>
    </row>
    <row r="67" spans="1:11" ht="21.75" x14ac:dyDescent="0.25">
      <c r="A67" s="70"/>
      <c r="B67" s="273">
        <v>53</v>
      </c>
      <c r="C67" s="273">
        <f>VLOOKUP(Tabla2910[[#This Row],[Código INDRA]],Tabla13[[Código Indra]:[ID2]],24,FALSE)</f>
        <v>63</v>
      </c>
      <c r="D67" s="274"/>
      <c r="E67" s="273" t="s">
        <v>144</v>
      </c>
      <c r="F67" s="275" t="s">
        <v>145</v>
      </c>
      <c r="G67" s="273" t="str">
        <f>_xlfn.CONCAT(MID(Tabla2910[[#This Row],[Código INDRA]],1,13),"IM",MID(Tabla2910[[#This Row],[Código INDRA]],15,2),"_",Tabla2910[[#This Row],[Versión]])</f>
        <v>0973525150000IM00_A0</v>
      </c>
      <c r="H67" s="275" t="s">
        <v>6</v>
      </c>
      <c r="I67" s="275"/>
      <c r="J67" s="273"/>
      <c r="K67" s="328"/>
    </row>
    <row r="68" spans="1:11" ht="43.5" x14ac:dyDescent="0.25">
      <c r="A68" s="70"/>
      <c r="B68" s="273">
        <v>54</v>
      </c>
      <c r="C68" s="273">
        <f>VLOOKUP(Tabla2910[[#This Row],[Código INDRA]],Tabla13[[Código Indra]:[ID2]],24,FALSE)</f>
        <v>64</v>
      </c>
      <c r="D68" s="274"/>
      <c r="E68" s="273" t="s">
        <v>147</v>
      </c>
      <c r="F68" s="275" t="s">
        <v>148</v>
      </c>
      <c r="G68" s="273" t="str">
        <f>_xlfn.CONCAT(MID(Tabla2910[[#This Row],[Código INDRA]],1,13),"IM",MID(Tabla2910[[#This Row],[Código INDRA]],15,2),"_",Tabla2910[[#This Row],[Versión]])</f>
        <v>0973525160000IM00_A0</v>
      </c>
      <c r="H68" s="275" t="s">
        <v>6</v>
      </c>
      <c r="I68" s="275"/>
      <c r="J68" s="273"/>
      <c r="K68" s="273"/>
    </row>
    <row r="69" spans="1:11" ht="21.75" x14ac:dyDescent="0.25">
      <c r="A69" s="70"/>
      <c r="B69" s="273">
        <v>55</v>
      </c>
      <c r="C69" s="273">
        <f>VLOOKUP(Tabla2910[[#This Row],[Código INDRA]],Tabla13[[Código Indra]:[ID2]],24,FALSE)</f>
        <v>65</v>
      </c>
      <c r="D69" s="274"/>
      <c r="E69" s="273" t="s">
        <v>100</v>
      </c>
      <c r="F69" s="275" t="s">
        <v>101</v>
      </c>
      <c r="G69" s="273" t="str">
        <f>_xlfn.CONCAT(MID(Tabla2910[[#This Row],[Código INDRA]],1,13),"IM",MID(Tabla2910[[#This Row],[Código INDRA]],15,2),"_",Tabla2910[[#This Row],[Versión]])</f>
        <v>0973525170000IM00_A0</v>
      </c>
      <c r="H69" s="275" t="s">
        <v>6</v>
      </c>
      <c r="I69" s="275"/>
      <c r="J69" s="273"/>
      <c r="K69" s="328"/>
    </row>
    <row r="70" spans="1:11" ht="21.75" x14ac:dyDescent="0.25">
      <c r="A70" s="70"/>
      <c r="B70" s="273">
        <v>56</v>
      </c>
      <c r="C70" s="273">
        <f>VLOOKUP(Tabla2910[[#This Row],[Código INDRA]],Tabla13[[Código Indra]:[ID2]],24,FALSE)</f>
        <v>66</v>
      </c>
      <c r="D70" s="274"/>
      <c r="E70" s="273" t="s">
        <v>103</v>
      </c>
      <c r="F70" s="275" t="s">
        <v>104</v>
      </c>
      <c r="G70" s="273" t="str">
        <f>_xlfn.CONCAT(MID(Tabla2910[[#This Row],[Código INDRA]],1,13),"IM",MID(Tabla2910[[#This Row],[Código INDRA]],15,2),"_",Tabla2910[[#This Row],[Versión]])</f>
        <v>0973525170100IM00_A0</v>
      </c>
      <c r="H70" s="275" t="s">
        <v>6</v>
      </c>
      <c r="I70" s="275"/>
      <c r="J70" s="273"/>
      <c r="K70" s="273"/>
    </row>
    <row r="71" spans="1:11" ht="21.75" x14ac:dyDescent="0.25">
      <c r="A71" s="70"/>
      <c r="B71" s="273">
        <v>57</v>
      </c>
      <c r="C71" s="273">
        <f>VLOOKUP(Tabla2910[[#This Row],[Código INDRA]],Tabla13[[Código Indra]:[ID2]],24,FALSE)</f>
        <v>620</v>
      </c>
      <c r="D71" s="274"/>
      <c r="E71" s="273" t="s">
        <v>189</v>
      </c>
      <c r="F71" s="275" t="s">
        <v>190</v>
      </c>
      <c r="G71" s="273" t="str">
        <f>_xlfn.CONCAT(MID(Tabla2910[[#This Row],[Código INDRA]],1,13),"IM",MID(Tabla2910[[#This Row],[Código INDRA]],15,2),"_",Tabla2910[[#This Row],[Versión]])</f>
        <v>0973525180000IM00_A0</v>
      </c>
      <c r="H71" s="275" t="s">
        <v>6</v>
      </c>
      <c r="I71" s="275"/>
      <c r="J71" s="273"/>
      <c r="K71" s="328" t="s">
        <v>1408</v>
      </c>
    </row>
    <row r="72" spans="1:11" ht="21.75" x14ac:dyDescent="0.25">
      <c r="A72" s="70"/>
      <c r="B72" s="273">
        <v>58</v>
      </c>
      <c r="C72" s="273">
        <f>VLOOKUP(Tabla2910[[#This Row],[Código INDRA]],Tabla13[[Código Indra]:[ID2]],24,FALSE)</f>
        <v>69</v>
      </c>
      <c r="D72" s="274"/>
      <c r="E72" s="273" t="s">
        <v>25</v>
      </c>
      <c r="F72" s="275" t="s">
        <v>26</v>
      </c>
      <c r="G72" s="273" t="str">
        <f>_xlfn.CONCAT(MID(Tabla2910[[#This Row],[Código INDRA]],1,13),"IM",MID(Tabla2910[[#This Row],[Código INDRA]],15,2),"_",Tabla2910[[#This Row],[Versión]])</f>
        <v>0973525190000IM00_A0</v>
      </c>
      <c r="H72" s="275" t="s">
        <v>6</v>
      </c>
      <c r="I72" s="275"/>
      <c r="J72" s="273"/>
      <c r="K72" s="273" t="s">
        <v>1408</v>
      </c>
    </row>
    <row r="73" spans="1:11" ht="21.75" x14ac:dyDescent="0.25">
      <c r="A73" s="70"/>
      <c r="B73" s="273">
        <v>59</v>
      </c>
      <c r="C73" s="273">
        <f>VLOOKUP(Tabla2910[[#This Row],[Código INDRA]],Tabla13[[Código Indra]:[ID2]],24,FALSE)</f>
        <v>80</v>
      </c>
      <c r="D73" s="274"/>
      <c r="E73" s="273" t="s">
        <v>56</v>
      </c>
      <c r="F73" s="275" t="s">
        <v>57</v>
      </c>
      <c r="G73" s="273" t="str">
        <f>_xlfn.CONCAT(MID(Tabla2910[[#This Row],[Código INDRA]],1,13),"IM",MID(Tabla2910[[#This Row],[Código INDRA]],15,2),"_",Tabla2910[[#This Row],[Versión]])</f>
        <v>0973524190000IM_A0</v>
      </c>
      <c r="H73" s="275" t="s">
        <v>6</v>
      </c>
      <c r="I73" s="275"/>
      <c r="J73" s="273" t="s">
        <v>1427</v>
      </c>
      <c r="K73" s="333" t="s">
        <v>1408</v>
      </c>
    </row>
    <row r="74" spans="1:11" ht="21.75" x14ac:dyDescent="0.25">
      <c r="A74" s="70"/>
      <c r="B74" s="273">
        <v>60</v>
      </c>
      <c r="C74" s="273">
        <f>VLOOKUP(Tabla2910[[#This Row],[Código INDRA]],Tabla13[[Código Indra]:[ID2]],24,FALSE)</f>
        <v>87</v>
      </c>
      <c r="D74" s="274"/>
      <c r="E74" s="273" t="s">
        <v>471</v>
      </c>
      <c r="F74" s="275" t="s">
        <v>65</v>
      </c>
      <c r="G74" s="273" t="str">
        <f>_xlfn.CONCAT(MID(Tabla2910[[#This Row],[Código INDRA]],1,13),"IM",MID(Tabla2910[[#This Row],[Código INDRA]],15,2),"_",Tabla2910[[#This Row],[Versión]])</f>
        <v>0973524191400IM_A0</v>
      </c>
      <c r="H74" s="275" t="s">
        <v>6</v>
      </c>
      <c r="I74" s="275"/>
      <c r="J74" s="273" t="s">
        <v>7</v>
      </c>
      <c r="K74" s="273"/>
    </row>
    <row r="75" spans="1:11" ht="21.75" x14ac:dyDescent="0.25">
      <c r="A75" s="70"/>
      <c r="B75" s="273">
        <v>61</v>
      </c>
      <c r="C75" s="273">
        <f>VLOOKUP(Tabla2910[[#This Row],[Código INDRA]],Tabla13[[Código Indra]:[ID2]],24,FALSE)</f>
        <v>93</v>
      </c>
      <c r="D75" s="274"/>
      <c r="E75" s="273" t="s">
        <v>67</v>
      </c>
      <c r="F75" s="275" t="s">
        <v>68</v>
      </c>
      <c r="G75" s="273" t="str">
        <f>_xlfn.CONCAT(MID(Tabla2910[[#This Row],[Código INDRA]],1,13),"IM",MID(Tabla2910[[#This Row],[Código INDRA]],15,2),"_",Tabla2910[[#This Row],[Versión]])</f>
        <v>0973524191500IM_A0</v>
      </c>
      <c r="H75" s="275" t="s">
        <v>6</v>
      </c>
      <c r="I75" s="275"/>
      <c r="J75" s="273" t="s">
        <v>1427</v>
      </c>
      <c r="K75" s="351" t="s">
        <v>1408</v>
      </c>
    </row>
    <row r="76" spans="1:11" ht="21.75" x14ac:dyDescent="0.25">
      <c r="A76" s="70"/>
      <c r="B76" s="273">
        <v>64</v>
      </c>
      <c r="C76" s="273">
        <f>VLOOKUP(Tabla2910[[#This Row],[Código INDRA]],Tabla13[[Código Indra]:[ID2]],24,FALSE)</f>
        <v>110</v>
      </c>
      <c r="D76" s="274"/>
      <c r="E76" s="273" t="s">
        <v>30</v>
      </c>
      <c r="F76" s="275" t="s">
        <v>31</v>
      </c>
      <c r="G76" s="273" t="str">
        <f>_xlfn.CONCAT(MID(Tabla2910[[#This Row],[Código INDRA]],1,13),"IM",MID(Tabla2910[[#This Row],[Código INDRA]],15,2),"_",Tabla2910[[#This Row],[Versión]])</f>
        <v>0973525200000IM00_A0</v>
      </c>
      <c r="H76" s="275" t="s">
        <v>6</v>
      </c>
      <c r="I76" s="275"/>
      <c r="J76" s="273" t="s">
        <v>1427</v>
      </c>
      <c r="K76" s="333" t="s">
        <v>1408</v>
      </c>
    </row>
    <row r="77" spans="1:11" ht="21.75" x14ac:dyDescent="0.25">
      <c r="A77" s="70"/>
      <c r="B77" s="273">
        <v>65</v>
      </c>
      <c r="C77" s="273">
        <f>VLOOKUP(Tabla2910[[#This Row],[Código INDRA]],Tabla13[[Código Indra]:[ID2]],24,FALSE)</f>
        <v>114</v>
      </c>
      <c r="D77" s="274"/>
      <c r="E77" s="273" t="s">
        <v>619</v>
      </c>
      <c r="F77" s="275" t="s">
        <v>620</v>
      </c>
      <c r="G77" s="273" t="str">
        <f>_xlfn.CONCAT(MID(Tabla2910[[#This Row],[Código INDRA]],1,13),"IM",MID(Tabla2910[[#This Row],[Código INDRA]],15,2),"_",Tabla2910[[#This Row],[Versión]])</f>
        <v>0973525203200IM00_A0</v>
      </c>
      <c r="H77" s="275" t="s">
        <v>6</v>
      </c>
      <c r="I77" s="275"/>
      <c r="J77" s="273"/>
      <c r="K77" s="273"/>
    </row>
    <row r="78" spans="1:11" ht="21.75" x14ac:dyDescent="0.25">
      <c r="A78" s="70"/>
      <c r="B78" s="273">
        <v>66</v>
      </c>
      <c r="C78" s="273">
        <f>VLOOKUP(Tabla2910[[#This Row],[Código INDRA]],Tabla13[[Código Indra]:[ID2]],24,FALSE)</f>
        <v>118</v>
      </c>
      <c r="D78" s="274"/>
      <c r="E78" s="273" t="s">
        <v>60</v>
      </c>
      <c r="F78" s="275" t="s">
        <v>61</v>
      </c>
      <c r="G78" s="273" t="str">
        <f>_xlfn.CONCAT(MID(Tabla2910[[#This Row],[Código INDRA]],1,13),"IM",MID(Tabla2910[[#This Row],[Código INDRA]],15,2),"_",Tabla2910[[#This Row],[Versión]])</f>
        <v>0973524200000IM_A0</v>
      </c>
      <c r="H78" s="275" t="s">
        <v>6</v>
      </c>
      <c r="I78" s="275"/>
      <c r="J78" s="273" t="s">
        <v>1427</v>
      </c>
      <c r="K78" s="333" t="s">
        <v>1408</v>
      </c>
    </row>
    <row r="79" spans="1:11" ht="21.75" x14ac:dyDescent="0.25">
      <c r="A79" s="70"/>
      <c r="B79" s="273">
        <v>67</v>
      </c>
      <c r="C79" s="273">
        <f>VLOOKUP(Tabla2910[[#This Row],[Código INDRA]],Tabla13[[Código Indra]:[ID2]],24,FALSE)</f>
        <v>125</v>
      </c>
      <c r="D79" s="274"/>
      <c r="E79" s="273" t="s">
        <v>557</v>
      </c>
      <c r="F79" s="275" t="s">
        <v>86</v>
      </c>
      <c r="G79" s="273" t="str">
        <f>_xlfn.CONCAT(MID(Tabla2910[[#This Row],[Código INDRA]],1,13),"IM",MID(Tabla2910[[#This Row],[Código INDRA]],15,2),"_",Tabla2910[[#This Row],[Versión]])</f>
        <v>0973524201800IM_A0</v>
      </c>
      <c r="H79" s="275" t="s">
        <v>6</v>
      </c>
      <c r="I79" s="275"/>
      <c r="J79" s="273" t="s">
        <v>1427</v>
      </c>
      <c r="K79" s="333" t="s">
        <v>1408</v>
      </c>
    </row>
    <row r="80" spans="1:11" ht="21.75" x14ac:dyDescent="0.25">
      <c r="A80" s="70"/>
      <c r="B80" s="273">
        <v>68</v>
      </c>
      <c r="C80" s="273" t="e">
        <f>VLOOKUP(Tabla2910[[#This Row],[Código INDRA]],Tabla13[[Código Indra]:[ID2]],24,FALSE)</f>
        <v>#N/A</v>
      </c>
      <c r="D80" s="274"/>
      <c r="E80" s="273" t="s">
        <v>149</v>
      </c>
      <c r="F80" s="275" t="s">
        <v>150</v>
      </c>
      <c r="G80" s="273" t="str">
        <f>_xlfn.CONCAT(MID(Tabla2910[[#This Row],[Código INDRA]],1,13),"IM",MID(Tabla2910[[#This Row],[Código INDRA]],15,2),"_",Tabla2910[[#This Row],[Versión]])</f>
        <v>0973524201000IM_A0</v>
      </c>
      <c r="H80" s="275" t="s">
        <v>6</v>
      </c>
      <c r="I80" s="275"/>
      <c r="J80" s="273" t="s">
        <v>1427</v>
      </c>
      <c r="K80" s="273" t="s">
        <v>1408</v>
      </c>
    </row>
    <row r="81" spans="1:11" ht="21.75" x14ac:dyDescent="0.25">
      <c r="A81" s="70"/>
      <c r="B81" s="273">
        <v>69</v>
      </c>
      <c r="C81" s="273">
        <f>VLOOKUP(Tabla2910[[#This Row],[Código INDRA]],Tabla13[[Código Indra]:[ID2]],24,FALSE)</f>
        <v>143</v>
      </c>
      <c r="D81" s="274"/>
      <c r="E81" s="273" t="s">
        <v>88</v>
      </c>
      <c r="F81" s="275" t="s">
        <v>89</v>
      </c>
      <c r="G81" s="273" t="str">
        <f>_xlfn.CONCAT(MID(Tabla2910[[#This Row],[Código INDRA]],1,13),"IM",MID(Tabla2910[[#This Row],[Código INDRA]],15,2),"_",Tabla2910[[#This Row],[Versión]])</f>
        <v>0973524201600IM_A0</v>
      </c>
      <c r="H81" s="275" t="s">
        <v>6</v>
      </c>
      <c r="I81" s="275"/>
      <c r="J81" s="273" t="s">
        <v>1427</v>
      </c>
      <c r="K81" s="333" t="s">
        <v>1408</v>
      </c>
    </row>
    <row r="82" spans="1:11" ht="21.75" x14ac:dyDescent="0.25">
      <c r="A82" s="70"/>
      <c r="B82" s="273">
        <v>70</v>
      </c>
      <c r="C82" s="273">
        <f>VLOOKUP(Tabla2910[[#This Row],[Código INDRA]],Tabla13[[Código Indra]:[ID2]],24,FALSE)</f>
        <v>150</v>
      </c>
      <c r="D82" s="274"/>
      <c r="E82" s="330" t="s">
        <v>163</v>
      </c>
      <c r="F82" s="275" t="s">
        <v>164</v>
      </c>
      <c r="G82" s="273" t="str">
        <f>_xlfn.CONCAT(MID(Tabla2910[[#This Row],[Código INDRA]],1,13),"IM",MID(Tabla2910[[#This Row],[Código INDRA]],15,2),"_",Tabla2910[[#This Row],[Versión]])</f>
        <v>0973524200600IM_A0</v>
      </c>
      <c r="H82" s="275" t="s">
        <v>6</v>
      </c>
      <c r="I82" s="275"/>
      <c r="J82" s="273"/>
      <c r="K82" s="273" t="s">
        <v>1408</v>
      </c>
    </row>
    <row r="83" spans="1:11" ht="21.75" x14ac:dyDescent="0.25">
      <c r="A83" s="70"/>
      <c r="B83" s="273">
        <v>71</v>
      </c>
      <c r="C83" s="273">
        <f>VLOOKUP(Tabla2910[[#This Row],[Código INDRA]],Tabla13[[Código Indra]:[ID2]],24,FALSE)</f>
        <v>173</v>
      </c>
      <c r="D83" s="274"/>
      <c r="E83" s="273" t="s">
        <v>35</v>
      </c>
      <c r="F83" s="275" t="s">
        <v>36</v>
      </c>
      <c r="G83" s="273" t="str">
        <f>_xlfn.CONCAT(MID(Tabla2910[[#This Row],[Código INDRA]],1,13),"IM",MID(Tabla2910[[#This Row],[Código INDRA]],15,2),"_",Tabla2910[[#This Row],[Versión]])</f>
        <v>0973525210000IM00_A0</v>
      </c>
      <c r="H83" s="275" t="s">
        <v>6</v>
      </c>
      <c r="I83" s="275"/>
      <c r="J83" s="273"/>
      <c r="K83" s="273" t="s">
        <v>1408</v>
      </c>
    </row>
    <row r="84" spans="1:11" ht="21.75" x14ac:dyDescent="0.25">
      <c r="A84" s="70"/>
      <c r="B84" s="273">
        <v>72</v>
      </c>
      <c r="C84" s="273">
        <f>VLOOKUP(Tabla2910[[#This Row],[Código INDRA]],Tabla13[[Código Indra]:[ID2]],24,FALSE)</f>
        <v>176</v>
      </c>
      <c r="D84" s="274"/>
      <c r="E84" s="273" t="s">
        <v>40</v>
      </c>
      <c r="F84" s="275" t="s">
        <v>41</v>
      </c>
      <c r="G84" s="273" t="str">
        <f>_xlfn.CONCAT(MID(Tabla2910[[#This Row],[Código INDRA]],1,13),"IM",MID(Tabla2910[[#This Row],[Código INDRA]],15,2),"_",Tabla2910[[#This Row],[Versión]])</f>
        <v>0973525220000IM00_A0</v>
      </c>
      <c r="H84" s="275" t="s">
        <v>6</v>
      </c>
      <c r="I84" s="275"/>
      <c r="J84" s="273"/>
      <c r="K84" s="273" t="s">
        <v>1408</v>
      </c>
    </row>
    <row r="85" spans="1:11" ht="21.75" x14ac:dyDescent="0.25">
      <c r="A85" s="70"/>
      <c r="B85" s="273">
        <v>73</v>
      </c>
      <c r="C85" s="273">
        <f>VLOOKUP(Tabla2910[[#This Row],[Código INDRA]],Tabla13[[Código Indra]:[ID2]],24,FALSE)</f>
        <v>180</v>
      </c>
      <c r="D85" s="274"/>
      <c r="E85" s="273" t="s">
        <v>181</v>
      </c>
      <c r="F85" s="275" t="s">
        <v>182</v>
      </c>
      <c r="G85" s="273" t="str">
        <f>_xlfn.CONCAT(MID(Tabla2910[[#This Row],[Código INDRA]],1,13),"IM",MID(Tabla2910[[#This Row],[Código INDRA]],15,2),"_",Tabla2910[[#This Row],[Versión]])</f>
        <v>0973525240000IM00_A0</v>
      </c>
      <c r="H85" s="275" t="s">
        <v>6</v>
      </c>
      <c r="I85" s="275"/>
      <c r="J85" s="273"/>
      <c r="K85" s="273" t="s">
        <v>1408</v>
      </c>
    </row>
    <row r="86" spans="1:11" ht="21.75" x14ac:dyDescent="0.25">
      <c r="A86" s="70"/>
      <c r="B86" s="273">
        <v>74</v>
      </c>
      <c r="C86" s="273">
        <f>VLOOKUP(Tabla2910[[#This Row],[Código INDRA]],Tabla13[[Código Indra]:[ID2]],24,FALSE)</f>
        <v>621</v>
      </c>
      <c r="D86" s="274"/>
      <c r="E86" s="273" t="s">
        <v>184</v>
      </c>
      <c r="F86" s="275" t="s">
        <v>185</v>
      </c>
      <c r="G86" s="273" t="str">
        <f>_xlfn.CONCAT(MID(Tabla2910[[#This Row],[Código INDRA]],1,13),"IM",MID(Tabla2910[[#This Row],[Código INDRA]],15,2),"_",Tabla2910[[#This Row],[Versión]])</f>
        <v>0973525270800IM00_A0</v>
      </c>
      <c r="H86" s="275" t="s">
        <v>6</v>
      </c>
      <c r="I86" s="275"/>
      <c r="J86" s="273"/>
      <c r="K86" s="273" t="s">
        <v>1408</v>
      </c>
    </row>
    <row r="87" spans="1:11" ht="21.75" x14ac:dyDescent="0.25">
      <c r="A87" s="70"/>
      <c r="B87" s="273">
        <v>75</v>
      </c>
      <c r="C87" s="273">
        <f>VLOOKUP(Tabla2910[[#This Row],[Código INDRA]],Tabla13[[Código Indra]:[ID2]],24,FALSE)</f>
        <v>191</v>
      </c>
      <c r="D87" s="274"/>
      <c r="E87" s="273" t="s">
        <v>192</v>
      </c>
      <c r="F87" s="275" t="s">
        <v>193</v>
      </c>
      <c r="G87" s="273" t="str">
        <f>_xlfn.CONCAT(MID(Tabla2910[[#This Row],[Código INDRA]],1,13),"IM",MID(Tabla2910[[#This Row],[Código INDRA]],15,2),"_",Tabla2910[[#This Row],[Versión]])</f>
        <v>0973525290000IM00_A0</v>
      </c>
      <c r="H87" s="275" t="s">
        <v>6</v>
      </c>
      <c r="I87" s="275"/>
      <c r="J87" s="273"/>
      <c r="K87" s="273" t="s">
        <v>1408</v>
      </c>
    </row>
    <row r="88" spans="1:11" ht="21.75" x14ac:dyDescent="0.25">
      <c r="A88" s="70"/>
      <c r="B88" s="273">
        <v>76</v>
      </c>
      <c r="C88" s="273">
        <f>VLOOKUP(Tabla2910[[#This Row],[Código INDRA]],Tabla13[[Código Indra]:[ID2]],24,FALSE)</f>
        <v>195</v>
      </c>
      <c r="D88" s="274"/>
      <c r="E88" s="273" t="s">
        <v>49</v>
      </c>
      <c r="F88" s="275" t="s">
        <v>50</v>
      </c>
      <c r="G88" s="273" t="str">
        <f>_xlfn.CONCAT(MID(Tabla2910[[#This Row],[Código INDRA]],1,13),"IM",MID(Tabla2910[[#This Row],[Código INDRA]],15,2),"_",Tabla2910[[#This Row],[Versión]])</f>
        <v>0973525300000IM00_A0</v>
      </c>
      <c r="H88" s="275" t="s">
        <v>6</v>
      </c>
      <c r="I88" s="275"/>
      <c r="J88" s="273"/>
      <c r="K88" s="273" t="s">
        <v>1408</v>
      </c>
    </row>
    <row r="89" spans="1:11" ht="87" x14ac:dyDescent="0.25">
      <c r="A89" s="70"/>
      <c r="B89" s="273">
        <v>77</v>
      </c>
      <c r="C89" s="273">
        <f>VLOOKUP(Tabla2910[[#This Row],[Código INDRA]],Tabla13[[Código Indra]:[ID2]],24,FALSE)</f>
        <v>201</v>
      </c>
      <c r="D89" s="274"/>
      <c r="E89" s="273" t="s">
        <v>532</v>
      </c>
      <c r="F89" s="275" t="s">
        <v>77</v>
      </c>
      <c r="G89" s="273" t="str">
        <f>_xlfn.CONCAT(MID(Tabla2910[[#This Row],[Código INDRA]],1,13),"IM",MID(Tabla2910[[#This Row],[Código INDRA]],15,2),"_",Tabla2910[[#This Row],[Versión]])</f>
        <v>0973524300100IM_A0</v>
      </c>
      <c r="H89" s="275" t="s">
        <v>6</v>
      </c>
      <c r="I89" s="275" t="s">
        <v>1437</v>
      </c>
      <c r="J89" s="273" t="s">
        <v>1427</v>
      </c>
      <c r="K89" s="273" t="s">
        <v>1408</v>
      </c>
    </row>
    <row r="90" spans="1:11" ht="43.5" x14ac:dyDescent="0.25">
      <c r="A90" s="70"/>
      <c r="B90" s="273">
        <v>78</v>
      </c>
      <c r="C90" s="273">
        <f>VLOOKUP(Tabla2910[[#This Row],[Código INDRA]],Tabla13[[Código Indra]:[ID2]],24,FALSE)</f>
        <v>210</v>
      </c>
      <c r="D90" s="274"/>
      <c r="E90" s="273" t="s">
        <v>79</v>
      </c>
      <c r="F90" s="275" t="s">
        <v>80</v>
      </c>
      <c r="G90" s="273" t="str">
        <f>_xlfn.CONCAT(MID(Tabla2910[[#This Row],[Código INDRA]],1,13),"IM",MID(Tabla2910[[#This Row],[Código INDRA]],15,2),"_",Tabla2910[[#This Row],[Versión]])</f>
        <v>0973524300000IM_A0</v>
      </c>
      <c r="H90" s="275" t="s">
        <v>6</v>
      </c>
      <c r="I90" s="275" t="s">
        <v>1442</v>
      </c>
      <c r="J90" s="273" t="s">
        <v>1427</v>
      </c>
      <c r="K90" s="273" t="s">
        <v>1408</v>
      </c>
    </row>
    <row r="91" spans="1:11" ht="21.75" x14ac:dyDescent="0.25">
      <c r="A91" s="70"/>
      <c r="B91" s="273">
        <v>79</v>
      </c>
      <c r="C91" s="273">
        <f>VLOOKUP(Tabla2910[[#This Row],[Código INDRA]],Tabla13[[Código Indra]:[ID2]],24,FALSE)</f>
        <v>219</v>
      </c>
      <c r="D91" s="274"/>
      <c r="E91" s="273" t="s">
        <v>115</v>
      </c>
      <c r="F91" s="275" t="s">
        <v>116</v>
      </c>
      <c r="G91" s="273" t="str">
        <f>_xlfn.CONCAT(MID(Tabla2910[[#This Row],[Código INDRA]],1,13),"IM",MID(Tabla2910[[#This Row],[Código INDRA]],15,2),"_",Tabla2910[[#This Row],[Versión]])</f>
        <v>0973525310000IM00_A0</v>
      </c>
      <c r="H91" s="275" t="s">
        <v>6</v>
      </c>
      <c r="I91" s="275"/>
      <c r="J91" s="273"/>
      <c r="K91" s="273" t="s">
        <v>1408</v>
      </c>
    </row>
    <row r="92" spans="1:11" ht="21.75" x14ac:dyDescent="0.25">
      <c r="A92" s="70"/>
      <c r="B92" s="273">
        <v>80</v>
      </c>
      <c r="C92" s="273">
        <f>VLOOKUP(Tabla2910[[#This Row],[Código INDRA]],Tabla13[[Código Indra]:[ID2]],24,FALSE)</f>
        <v>329</v>
      </c>
      <c r="D92" s="274"/>
      <c r="E92" s="273" t="s">
        <v>175</v>
      </c>
      <c r="F92" s="275" t="s">
        <v>176</v>
      </c>
      <c r="G92" s="273" t="str">
        <f>_xlfn.CONCAT(MID(Tabla2910[[#This Row],[Código INDRA]],1,13),"IM",MID(Tabla2910[[#This Row],[Código INDRA]],15,2),"_",Tabla2910[[#This Row],[Versión]])</f>
        <v>0973525410000IM00_A0</v>
      </c>
      <c r="H92" s="275" t="s">
        <v>6</v>
      </c>
      <c r="I92" s="275"/>
      <c r="J92" s="273"/>
      <c r="K92" s="273" t="s">
        <v>1408</v>
      </c>
    </row>
    <row r="93" spans="1:11" ht="21.75" x14ac:dyDescent="0.25">
      <c r="A93" s="70"/>
      <c r="B93" s="273">
        <v>81</v>
      </c>
      <c r="C93" s="273">
        <f>VLOOKUP(Tabla2910[[#This Row],[Código INDRA]],Tabla13[[Código Indra]:[ID2]],24,FALSE)</f>
        <v>330</v>
      </c>
      <c r="D93" s="274"/>
      <c r="E93" s="273" t="s">
        <v>169</v>
      </c>
      <c r="F93" s="275" t="s">
        <v>170</v>
      </c>
      <c r="G93" s="273" t="str">
        <f>_xlfn.CONCAT(MID(Tabla2910[[#This Row],[Código INDRA]],1,13),"IM",MID(Tabla2910[[#This Row],[Código INDRA]],15,2),"_",Tabla2910[[#This Row],[Versión]])</f>
        <v>0973525420000IM00_A0</v>
      </c>
      <c r="H93" s="275" t="s">
        <v>6</v>
      </c>
      <c r="I93" s="275"/>
      <c r="J93" s="273"/>
      <c r="K93" s="273" t="s">
        <v>1408</v>
      </c>
    </row>
    <row r="94" spans="1:11" ht="21.75" x14ac:dyDescent="0.25">
      <c r="A94" s="70"/>
      <c r="B94" s="273">
        <v>82</v>
      </c>
      <c r="C94" s="273">
        <f>VLOOKUP(Tabla2910[[#This Row],[Código INDRA]],Tabla13[[Código Indra]:[ID2]],24,FALSE)</f>
        <v>332</v>
      </c>
      <c r="D94" s="274"/>
      <c r="E94" s="273" t="s">
        <v>186</v>
      </c>
      <c r="F94" s="275" t="s">
        <v>187</v>
      </c>
      <c r="G94" s="273" t="str">
        <f>_xlfn.CONCAT(MID(Tabla2910[[#This Row],[Código INDRA]],1,13),"IM",MID(Tabla2910[[#This Row],[Código INDRA]],15,2),"_",Tabla2910[[#This Row],[Versión]])</f>
        <v>0973525480000IM00_A0</v>
      </c>
      <c r="H94" s="275" t="s">
        <v>6</v>
      </c>
      <c r="I94" s="275"/>
      <c r="J94" s="273"/>
      <c r="K94" s="273" t="s">
        <v>1408</v>
      </c>
    </row>
    <row r="95" spans="1:11" ht="43.5" x14ac:dyDescent="0.25">
      <c r="A95" s="70"/>
      <c r="B95" s="273">
        <v>83</v>
      </c>
      <c r="C95" s="273" t="e">
        <f>VLOOKUP(Tabla2910[[#This Row],[Código INDRA]],Tabla13[[Código Indra]:[ID2]],24,FALSE)</f>
        <v>#N/A</v>
      </c>
      <c r="D95" s="274"/>
      <c r="E95" s="273" t="s">
        <v>166</v>
      </c>
      <c r="F95" s="275" t="s">
        <v>167</v>
      </c>
      <c r="G95" s="273" t="str">
        <f>_xlfn.CONCAT(MID(Tabla2910[[#This Row],[Código INDRA]],1,13),"IM",MID(Tabla2910[[#This Row],[Código INDRA]],15,2),"_",Tabla2910[[#This Row],[Versión]])</f>
        <v>0973524000100IM_A0</v>
      </c>
      <c r="H95" s="275" t="s">
        <v>6</v>
      </c>
      <c r="I95" s="275"/>
      <c r="J95" s="273" t="s">
        <v>1427</v>
      </c>
      <c r="K95" s="273" t="s">
        <v>1408</v>
      </c>
    </row>
    <row r="96" spans="1:11" ht="21.75" x14ac:dyDescent="0.25">
      <c r="A96" s="70"/>
      <c r="B96" s="273">
        <v>84</v>
      </c>
      <c r="C96" s="273" t="e">
        <f>VLOOKUP(Tabla2910[[#This Row],[Código INDRA]],Tabla13[[Código Indra]:[ID2]],24,FALSE)</f>
        <v>#N/A</v>
      </c>
      <c r="D96" s="274"/>
      <c r="E96" s="273" t="s">
        <v>194</v>
      </c>
      <c r="F96" s="275" t="s">
        <v>195</v>
      </c>
      <c r="G96" s="273" t="str">
        <f>_xlfn.CONCAT(MID(Tabla2910[[#This Row],[Código INDRA]],1,13),"IM",MID(Tabla2910[[#This Row],[Código INDRA]],15,2),"_",Tabla2910[[#This Row],[Versión]])</f>
        <v>0973524017000IM_A0</v>
      </c>
      <c r="H96" s="275" t="s">
        <v>6</v>
      </c>
      <c r="I96" s="275"/>
      <c r="J96" s="273"/>
      <c r="K96" s="273" t="s">
        <v>1408</v>
      </c>
    </row>
    <row r="97" spans="1:11" ht="21.75" x14ac:dyDescent="0.25">
      <c r="A97" s="70"/>
      <c r="B97" s="273">
        <v>85</v>
      </c>
      <c r="C97" s="273">
        <f>VLOOKUP(Tabla2910[[#This Row],[Código INDRA]],Tabla13[[Código Indra]:[ID2]],24,FALSE)</f>
        <v>361</v>
      </c>
      <c r="D97" s="274"/>
      <c r="E97" s="273" t="s">
        <v>105</v>
      </c>
      <c r="F97" s="275" t="s">
        <v>106</v>
      </c>
      <c r="G97" s="273" t="str">
        <f>_xlfn.CONCAT(MID(Tabla2910[[#This Row],[Código INDRA]],1,13),"IM",MID(Tabla2910[[#This Row],[Código INDRA]],15,2),"_",Tabla2910[[#This Row],[Versión]])</f>
        <v>0973525411000IM_A0</v>
      </c>
      <c r="H97" s="275" t="s">
        <v>6</v>
      </c>
      <c r="I97" s="275"/>
      <c r="J97" s="273" t="s">
        <v>1427</v>
      </c>
      <c r="K97" s="273" t="s">
        <v>1408</v>
      </c>
    </row>
    <row r="98" spans="1:11" ht="43.5" x14ac:dyDescent="0.25">
      <c r="A98" s="70"/>
      <c r="B98" s="273">
        <v>86</v>
      </c>
      <c r="C98" s="273">
        <f>VLOOKUP(Tabla2910[[#This Row],[Código INDRA]],Tabla13[[Código Indra]:[ID2]],24,FALSE)</f>
        <v>374</v>
      </c>
      <c r="D98" s="274"/>
      <c r="E98" s="273" t="s">
        <v>178</v>
      </c>
      <c r="F98" s="275" t="s">
        <v>179</v>
      </c>
      <c r="G98" s="273" t="str">
        <f>_xlfn.CONCAT(MID(Tabla2910[[#This Row],[Código INDRA]],1,13),"IM",MID(Tabla2910[[#This Row],[Código INDRA]],15,2),"_",Tabla2910[[#This Row],[Versión]])</f>
        <v>0973524410000IM_A0</v>
      </c>
      <c r="H98" s="275" t="s">
        <v>6</v>
      </c>
      <c r="I98" s="275" t="s">
        <v>1443</v>
      </c>
      <c r="J98" s="273" t="s">
        <v>1427</v>
      </c>
      <c r="K98" s="273" t="s">
        <v>1408</v>
      </c>
    </row>
    <row r="99" spans="1:11" ht="43.5" x14ac:dyDescent="0.25">
      <c r="A99" s="70"/>
      <c r="B99" s="273">
        <v>87</v>
      </c>
      <c r="C99" s="273">
        <f>VLOOKUP(Tabla2910[[#This Row],[Código INDRA]],Tabla13[[Código Indra]:[ID2]],24,FALSE)</f>
        <v>378</v>
      </c>
      <c r="D99" s="274"/>
      <c r="E99" s="273" t="s">
        <v>172</v>
      </c>
      <c r="F99" s="275" t="s">
        <v>173</v>
      </c>
      <c r="G99" s="273" t="str">
        <f>_xlfn.CONCAT(MID(Tabla2910[[#This Row],[Código INDRA]],1,13),"IM",MID(Tabla2910[[#This Row],[Código INDRA]],15,2),"_",Tabla2910[[#This Row],[Versión]])</f>
        <v>0973524420000IM_A0</v>
      </c>
      <c r="H99" s="275" t="s">
        <v>6</v>
      </c>
      <c r="I99" s="275"/>
      <c r="J99" s="273"/>
      <c r="K99" s="273" t="s">
        <v>1408</v>
      </c>
    </row>
    <row r="100" spans="1:11" ht="43.5" x14ac:dyDescent="0.25">
      <c r="A100" s="70"/>
      <c r="B100" s="273">
        <v>89</v>
      </c>
      <c r="C100" s="273">
        <f>VLOOKUP(Tabla2910[[#This Row],[Código INDRA]],Tabla13[[Código Indra]:[ID2]],24,FALSE)</f>
        <v>390</v>
      </c>
      <c r="D100" s="274"/>
      <c r="E100" s="273" t="s">
        <v>52</v>
      </c>
      <c r="F100" s="275" t="s">
        <v>53</v>
      </c>
      <c r="G100" s="273" t="str">
        <f>_xlfn.CONCAT(MID(Tabla2910[[#This Row],[Código INDRA]],1,13),"IM",MID(Tabla2910[[#This Row],[Código INDRA]],15,2),"_",Tabla2910[[#This Row],[Versión]])</f>
        <v>0973524430000IM_A0</v>
      </c>
      <c r="H100" s="275" t="s">
        <v>6</v>
      </c>
      <c r="I100" s="275" t="s">
        <v>1442</v>
      </c>
      <c r="J100" s="273" t="s">
        <v>1427</v>
      </c>
      <c r="K100" s="273" t="s">
        <v>1408</v>
      </c>
    </row>
    <row r="101" spans="1:11" ht="21.75" x14ac:dyDescent="0.25">
      <c r="A101" s="70"/>
      <c r="B101" s="273">
        <v>90</v>
      </c>
      <c r="C101" s="273">
        <f>VLOOKUP(Tabla2910[[#This Row],[Código INDRA]],Tabla13[[Código Indra]:[ID2]],24,FALSE)</f>
        <v>419</v>
      </c>
      <c r="D101" s="274"/>
      <c r="E101" s="273" t="s">
        <v>19</v>
      </c>
      <c r="F101" s="275" t="s">
        <v>20</v>
      </c>
      <c r="G101" s="273" t="str">
        <f>_xlfn.CONCAT(MID(Tabla2910[[#This Row],[Código INDRA]],1,13),"IM",MID(Tabla2910[[#This Row],[Código INDRA]],15,2),"_",Tabla2910[[#This Row],[Versión]])</f>
        <v>0973524430100IM_A0</v>
      </c>
      <c r="H101" s="275" t="s">
        <v>6</v>
      </c>
      <c r="I101" s="275"/>
      <c r="J101" s="273" t="s">
        <v>7</v>
      </c>
      <c r="K101" s="273" t="s">
        <v>1411</v>
      </c>
    </row>
    <row r="102" spans="1:11" ht="21.75" x14ac:dyDescent="0.25">
      <c r="A102" s="70"/>
      <c r="B102" s="273">
        <v>91</v>
      </c>
      <c r="C102" s="273">
        <f>VLOOKUP(Tabla2910[[#This Row],[Código INDRA]],Tabla13[[Código Indra]:[ID2]],24,FALSE)</f>
        <v>420</v>
      </c>
      <c r="D102" s="274"/>
      <c r="E102" s="273" t="s">
        <v>197</v>
      </c>
      <c r="F102" s="275" t="s">
        <v>198</v>
      </c>
      <c r="G102" s="273" t="str">
        <f>_xlfn.CONCAT(MID(Tabla2910[[#This Row],[Código INDRA]],1,13),"IM",MID(Tabla2910[[#This Row],[Código INDRA]],15,2),"_",Tabla2910[[#This Row],[Versión]])</f>
        <v>0973524290000IM_A0</v>
      </c>
      <c r="H102" s="275" t="s">
        <v>6</v>
      </c>
      <c r="I102" s="275"/>
      <c r="J102" s="273" t="s">
        <v>1427</v>
      </c>
      <c r="K102" s="273" t="s">
        <v>1408</v>
      </c>
    </row>
    <row r="103" spans="1:11" ht="43.5" x14ac:dyDescent="0.25">
      <c r="A103" s="70"/>
      <c r="B103" s="273">
        <v>92</v>
      </c>
      <c r="C103" s="273">
        <f>VLOOKUP(Tabla2910[[#This Row],[Código INDRA]],Tabla13[[Código Indra]:[ID2]],24,FALSE)</f>
        <v>421</v>
      </c>
      <c r="D103" s="274"/>
      <c r="E103" s="273" t="s">
        <v>199</v>
      </c>
      <c r="F103" s="275" t="s">
        <v>1444</v>
      </c>
      <c r="G103" s="273" t="str">
        <f>_xlfn.CONCAT(MID(Tabla2910[[#This Row],[Código INDRA]],1,13),"IM",MID(Tabla2910[[#This Row],[Código INDRA]],15,2),"_",Tabla2910[[#This Row],[Versión]])</f>
        <v>0973523060000IM00_A0</v>
      </c>
      <c r="H103" s="275" t="s">
        <v>6</v>
      </c>
      <c r="I103" s="275"/>
      <c r="J103" s="273"/>
      <c r="K103" s="273" t="s">
        <v>1408</v>
      </c>
    </row>
    <row r="104" spans="1:11" ht="21.75" x14ac:dyDescent="0.25">
      <c r="A104" s="70"/>
      <c r="B104" s="273">
        <v>93</v>
      </c>
      <c r="C104" s="273">
        <f>VLOOKUP(Tabla2910[[#This Row],[Código INDRA]],Tabla13[[Código Indra]:[ID2]],24,FALSE)</f>
        <v>428</v>
      </c>
      <c r="D104" s="274"/>
      <c r="E104" s="273" t="s">
        <v>201</v>
      </c>
      <c r="F104" s="275" t="s">
        <v>202</v>
      </c>
      <c r="G104" s="273" t="str">
        <f>_xlfn.CONCAT(MID(Tabla2910[[#This Row],[Código INDRA]],1,13),"IM",MID(Tabla2910[[#This Row],[Código INDRA]],15,2),"_",Tabla2910[[#This Row],[Versión]])</f>
        <v>0973523062000IM00_A0</v>
      </c>
      <c r="H104" s="275" t="s">
        <v>6</v>
      </c>
      <c r="I104" s="275"/>
      <c r="J104" s="273"/>
      <c r="K104" s="328"/>
    </row>
    <row r="105" spans="1:11" ht="43.5" x14ac:dyDescent="0.25">
      <c r="A105" s="70"/>
      <c r="B105" s="273">
        <v>94</v>
      </c>
      <c r="C105" s="273">
        <f>VLOOKUP(Tabla2910[[#This Row],[Código INDRA]],Tabla13[[Código Indra]:[ID2]],24,FALSE)</f>
        <v>431</v>
      </c>
      <c r="D105" s="274"/>
      <c r="E105" s="273" t="s">
        <v>203</v>
      </c>
      <c r="F105" s="275" t="s">
        <v>204</v>
      </c>
      <c r="G105" s="273" t="str">
        <f>_xlfn.CONCAT(MID(Tabla2910[[#This Row],[Código INDRA]],1,13),"IM",MID(Tabla2910[[#This Row],[Código INDRA]],15,2),"_",Tabla2910[[#This Row],[Versión]])</f>
        <v>0973523064000IM00_A0</v>
      </c>
      <c r="H105" s="275" t="s">
        <v>6</v>
      </c>
      <c r="I105" s="275"/>
      <c r="J105" s="273"/>
      <c r="K105" s="273"/>
    </row>
    <row r="106" spans="1:11" ht="21.75" x14ac:dyDescent="0.25">
      <c r="A106" s="70"/>
      <c r="B106" s="273">
        <v>95</v>
      </c>
      <c r="C106" s="273">
        <f>VLOOKUP(Tabla2910[[#This Row],[Código INDRA]],Tabla13[[Código Indra]:[ID2]],24,FALSE)</f>
        <v>446</v>
      </c>
      <c r="D106" s="274"/>
      <c r="E106" s="273" t="s">
        <v>205</v>
      </c>
      <c r="F106" s="275" t="s">
        <v>206</v>
      </c>
      <c r="G106" s="273" t="str">
        <f>_xlfn.CONCAT(MID(Tabla2910[[#This Row],[Código INDRA]],1,13),"IM",MID(Tabla2910[[#This Row],[Código INDRA]],15,2),"_",Tabla2910[[#This Row],[Versión]])</f>
        <v>0973523066000IM00_A0</v>
      </c>
      <c r="H106" s="275" t="s">
        <v>6</v>
      </c>
      <c r="I106" s="275" t="s">
        <v>1445</v>
      </c>
      <c r="J106" s="273" t="s">
        <v>1427</v>
      </c>
      <c r="K106" s="328" t="s">
        <v>1408</v>
      </c>
    </row>
    <row r="107" spans="1:11" ht="43.5" x14ac:dyDescent="0.25">
      <c r="A107" s="70"/>
      <c r="B107" s="273">
        <v>96</v>
      </c>
      <c r="C107" s="273">
        <f>VLOOKUP(Tabla2910[[#This Row],[Código INDRA]],Tabla13[[Código Indra]:[ID2]],24,FALSE)</f>
        <v>448</v>
      </c>
      <c r="D107" s="274"/>
      <c r="E107" s="273" t="s">
        <v>207</v>
      </c>
      <c r="F107" s="275" t="s">
        <v>208</v>
      </c>
      <c r="G107" s="273" t="str">
        <f>_xlfn.CONCAT(MID(Tabla2910[[#This Row],[Código INDRA]],1,13),"IM",MID(Tabla2910[[#This Row],[Código INDRA]],15,2),"_",Tabla2910[[#This Row],[Versión]])</f>
        <v>0973523067000IM00_A0</v>
      </c>
      <c r="H107" s="275" t="s">
        <v>6</v>
      </c>
      <c r="I107" s="275" t="s">
        <v>1445</v>
      </c>
      <c r="J107" s="273" t="s">
        <v>1427</v>
      </c>
      <c r="K107" s="273" t="s">
        <v>1408</v>
      </c>
    </row>
    <row r="108" spans="1:11" ht="21.75" x14ac:dyDescent="0.25">
      <c r="A108" s="70"/>
      <c r="B108" s="273">
        <v>97</v>
      </c>
      <c r="C108" s="273">
        <f>VLOOKUP(Tabla2910[[#This Row],[Código INDRA]],Tabla13[[Código Indra]:[ID2]],24,FALSE)</f>
        <v>449</v>
      </c>
      <c r="D108" s="274"/>
      <c r="E108" s="273" t="s">
        <v>1446</v>
      </c>
      <c r="F108" s="275" t="s">
        <v>210</v>
      </c>
      <c r="G108" s="273" t="str">
        <f>_xlfn.CONCAT(MID(Tabla2910[[#This Row],[Código INDRA]],1,13),"IM",MID(Tabla2910[[#This Row],[Código INDRA]],15,2),"_",Tabla2910[[#This Row],[Versión]])</f>
        <v>0973523068700IM_A0</v>
      </c>
      <c r="H108" s="275" t="s">
        <v>6</v>
      </c>
      <c r="I108" s="275"/>
      <c r="J108" s="273"/>
      <c r="K108" s="328"/>
    </row>
    <row r="109" spans="1:11" ht="21.75" x14ac:dyDescent="0.25">
      <c r="A109" s="70"/>
      <c r="B109" s="273">
        <v>98</v>
      </c>
      <c r="C109" s="273">
        <f>VLOOKUP(Tabla2910[[#This Row],[Código INDRA]],Tabla13[[Código Indra]:[ID2]],24,FALSE)</f>
        <v>454</v>
      </c>
      <c r="D109" s="274"/>
      <c r="E109" s="273" t="s">
        <v>158</v>
      </c>
      <c r="F109" s="275" t="s">
        <v>159</v>
      </c>
      <c r="G109" s="273" t="str">
        <f>_xlfn.CONCAT(MID(Tabla2910[[#This Row],[Código INDRA]],1,13),"IM",MID(Tabla2910[[#This Row],[Código INDRA]],15,2),"_",Tabla2910[[#This Row],[Versión]])</f>
        <v>0973524070000IM_A0</v>
      </c>
      <c r="H109" s="275" t="s">
        <v>6</v>
      </c>
      <c r="I109" s="275"/>
      <c r="J109" s="273" t="s">
        <v>1427</v>
      </c>
      <c r="K109" s="273" t="s">
        <v>1408</v>
      </c>
    </row>
    <row r="110" spans="1:11" ht="43.5" x14ac:dyDescent="0.25">
      <c r="A110" s="70"/>
      <c r="B110" s="273">
        <v>99</v>
      </c>
      <c r="C110" s="273">
        <f>VLOOKUP(Tabla2910[[#This Row],[Código INDRA]],Tabla13[[Código Indra]:[ID2]],24,FALSE)</f>
        <v>455</v>
      </c>
      <c r="D110" s="274"/>
      <c r="E110" s="273" t="s">
        <v>160</v>
      </c>
      <c r="F110" s="275" t="s">
        <v>161</v>
      </c>
      <c r="G110" s="273" t="str">
        <f>_xlfn.CONCAT(MID(Tabla2910[[#This Row],[Código INDRA]],1,13),"IM",MID(Tabla2910[[#This Row],[Código INDRA]],15,2),"_",Tabla2910[[#This Row],[Versión]])</f>
        <v>0973524070100IM_A0</v>
      </c>
      <c r="H110" s="275" t="s">
        <v>6</v>
      </c>
      <c r="I110" s="275" t="s">
        <v>1445</v>
      </c>
      <c r="J110" s="273" t="s">
        <v>1427</v>
      </c>
      <c r="K110" s="328" t="s">
        <v>1408</v>
      </c>
    </row>
    <row r="111" spans="1:11" ht="43.5" x14ac:dyDescent="0.25">
      <c r="A111" s="70"/>
      <c r="B111" s="273">
        <v>100</v>
      </c>
      <c r="C111" s="273">
        <f>VLOOKUP(Tabla2910[[#This Row],[Código INDRA]],Tabla13[[Código Indra]:[ID2]],24,FALSE)</f>
        <v>464</v>
      </c>
      <c r="D111" s="274"/>
      <c r="E111" s="273" t="s">
        <v>91</v>
      </c>
      <c r="F111" s="275" t="s">
        <v>92</v>
      </c>
      <c r="G111" s="273" t="str">
        <f>_xlfn.CONCAT(MID(Tabla2910[[#This Row],[Código INDRA]],1,13),"IM",MID(Tabla2910[[#This Row],[Código INDRA]],15,2),"_",Tabla2910[[#This Row],[Versión]])</f>
        <v>0973524070200IM_A0</v>
      </c>
      <c r="H111" s="275" t="s">
        <v>6</v>
      </c>
      <c r="I111" s="275" t="s">
        <v>1445</v>
      </c>
      <c r="J111" s="273" t="s">
        <v>1427</v>
      </c>
      <c r="K111" s="273" t="s">
        <v>1408</v>
      </c>
    </row>
    <row r="112" spans="1:11" ht="43.5" x14ac:dyDescent="0.25">
      <c r="A112" s="70"/>
      <c r="B112" s="273">
        <v>101</v>
      </c>
      <c r="C112" s="273">
        <f>VLOOKUP(Tabla2910[[#This Row],[Código INDRA]],Tabla13[[Código Indra]:[ID2]],24,FALSE)</f>
        <v>473</v>
      </c>
      <c r="D112" s="274"/>
      <c r="E112" s="273" t="s">
        <v>93</v>
      </c>
      <c r="F112" s="275" t="s">
        <v>94</v>
      </c>
      <c r="G112" s="273" t="str">
        <f>_xlfn.CONCAT(MID(Tabla2910[[#This Row],[Código INDRA]],1,13),"IM",MID(Tabla2910[[#This Row],[Código INDRA]],15,2),"_",Tabla2910[[#This Row],[Versión]])</f>
        <v>0973524070300IM_A0</v>
      </c>
      <c r="H112" s="275" t="s">
        <v>6</v>
      </c>
      <c r="I112" s="275" t="s">
        <v>1445</v>
      </c>
      <c r="J112" s="273" t="s">
        <v>1427</v>
      </c>
      <c r="K112" s="328" t="s">
        <v>1408</v>
      </c>
    </row>
    <row r="113" spans="1:11" ht="21.75" x14ac:dyDescent="0.25">
      <c r="A113" s="70"/>
      <c r="B113" s="273">
        <v>102</v>
      </c>
      <c r="C113" s="273">
        <f>VLOOKUP(Tabla2910[[#This Row],[Código INDRA]],Tabla13[[Código Indra]:[ID2]],24,FALSE)</f>
        <v>482</v>
      </c>
      <c r="D113" s="274"/>
      <c r="E113" s="273" t="s">
        <v>152</v>
      </c>
      <c r="F113" s="275" t="s">
        <v>153</v>
      </c>
      <c r="G113" s="273" t="str">
        <f>_xlfn.CONCAT(MID(Tabla2910[[#This Row],[Código INDRA]],1,13),"IM",MID(Tabla2910[[#This Row],[Código INDRA]],15,2),"_",Tabla2910[[#This Row],[Versión]])</f>
        <v>0973524310000IM_A0</v>
      </c>
      <c r="H113" s="275" t="s">
        <v>6</v>
      </c>
      <c r="I113" s="275"/>
      <c r="J113" s="273" t="s">
        <v>1427</v>
      </c>
      <c r="K113" s="333" t="s">
        <v>1408</v>
      </c>
    </row>
    <row r="114" spans="1:11" ht="43.5" x14ac:dyDescent="0.25">
      <c r="A114" s="70"/>
      <c r="B114" s="273">
        <v>103</v>
      </c>
      <c r="C114" s="273">
        <f>VLOOKUP(Tabla2910[[#This Row],[Código INDRA]],Tabla13[[Código Indra]:[ID2]],24,FALSE)</f>
        <v>487</v>
      </c>
      <c r="D114" s="274"/>
      <c r="E114" s="273" t="s">
        <v>636</v>
      </c>
      <c r="F114" s="275" t="s">
        <v>83</v>
      </c>
      <c r="G114" s="273" t="str">
        <f>_xlfn.CONCAT(MID(Tabla2910[[#This Row],[Código INDRA]],1,13),"IM",MID(Tabla2910[[#This Row],[Código INDRA]],15,2),"_",Tabla2910[[#This Row],[Versión]])</f>
        <v>0973524020000IM_A0</v>
      </c>
      <c r="H114" s="275" t="s">
        <v>6</v>
      </c>
      <c r="I114" s="275" t="s">
        <v>1447</v>
      </c>
      <c r="J114" s="273" t="s">
        <v>1427</v>
      </c>
      <c r="K114" s="328" t="s">
        <v>1408</v>
      </c>
    </row>
    <row r="115" spans="1:11" ht="21.75" x14ac:dyDescent="0.25">
      <c r="A115" s="70"/>
      <c r="B115" s="273">
        <v>104</v>
      </c>
      <c r="C115" s="273">
        <f>VLOOKUP(Tabla2910[[#This Row],[Código INDRA]],Tabla13[[Código Indra]:[ID2]],24,FALSE)</f>
        <v>540</v>
      </c>
      <c r="D115" s="274"/>
      <c r="E115" s="273" t="s">
        <v>108</v>
      </c>
      <c r="F115" s="275" t="s">
        <v>109</v>
      </c>
      <c r="G115" s="273" t="str">
        <f>_xlfn.CONCAT(MID(Tabla2910[[#This Row],[Código INDRA]],1,13),"IM",MID(Tabla2910[[#This Row],[Código INDRA]],15,2),"_",Tabla2910[[#This Row],[Versión]])</f>
        <v>0973524210200IM_A0</v>
      </c>
      <c r="H115" s="275" t="s">
        <v>6</v>
      </c>
      <c r="I115" s="275"/>
      <c r="J115" s="273"/>
      <c r="K115" s="273"/>
    </row>
    <row r="116" spans="1:11" ht="43.5" x14ac:dyDescent="0.25">
      <c r="A116" s="70"/>
      <c r="B116" s="273">
        <v>105</v>
      </c>
      <c r="C116" s="273">
        <f>VLOOKUP(Tabla2910[[#This Row],[Código INDRA]],Tabla13[[Código Indra]:[ID2]],24,FALSE)</f>
        <v>583</v>
      </c>
      <c r="D116" s="274"/>
      <c r="E116" s="273" t="s">
        <v>1448</v>
      </c>
      <c r="F116" s="334" t="s">
        <v>167</v>
      </c>
      <c r="G116" s="273" t="str">
        <f>_xlfn.CONCAT(MID(Tabla2910[[#This Row],[Código INDRA]],1,13),"IM",MID(Tabla2910[[#This Row],[Código INDRA]],15,2),"_",Tabla2910[[#This Row],[Versión]])</f>
        <v>0973524000100IMR_A0</v>
      </c>
      <c r="H116" s="275" t="s">
        <v>6</v>
      </c>
      <c r="I116" s="275"/>
      <c r="J116" s="312"/>
      <c r="K116" s="328"/>
    </row>
    <row r="117" spans="1:11" ht="43.5" x14ac:dyDescent="0.25">
      <c r="A117" s="70"/>
      <c r="B117" s="273">
        <v>106</v>
      </c>
      <c r="C117" s="273">
        <f>VLOOKUP(Tabla2910[[#This Row],[Código INDRA]],Tabla13[[Código Indra]:[ID2]],24,FALSE)</f>
        <v>584</v>
      </c>
      <c r="D117" s="274"/>
      <c r="E117" s="273" t="s">
        <v>1449</v>
      </c>
      <c r="F117" s="334" t="s">
        <v>1450</v>
      </c>
      <c r="G117" s="273" t="str">
        <f>_xlfn.CONCAT(MID(Tabla2910[[#This Row],[Código INDRA]],1,13),"IM",MID(Tabla2910[[#This Row],[Código INDRA]],15,2),"_",Tabla2910[[#This Row],[Versión]])</f>
        <v>0973525410100IM00_A0</v>
      </c>
      <c r="H117" s="275" t="s">
        <v>6</v>
      </c>
      <c r="I117" s="275"/>
      <c r="J117" s="312"/>
      <c r="K117" s="273"/>
    </row>
    <row r="118" spans="1:11" ht="21.75" x14ac:dyDescent="0.25">
      <c r="A118" s="70"/>
      <c r="B118" s="273">
        <v>88</v>
      </c>
      <c r="C118" s="273">
        <f>VLOOKUP(Tabla2910[[#This Row],[Código INDRA]],Tabla13[[Código Indra]:[ID2]],24,FALSE)</f>
        <v>385</v>
      </c>
      <c r="D118" s="274"/>
      <c r="E118" s="330" t="s">
        <v>95</v>
      </c>
      <c r="F118" s="275" t="s">
        <v>96</v>
      </c>
      <c r="G118" s="273" t="str">
        <f>_xlfn.CONCAT(MID(Tabla2910[[#This Row],[Código INDRA]],1,13),"IM",MID(Tabla2910[[#This Row],[Código INDRA]],15,2),"_",Tabla2910[[#This Row],[Versión]])</f>
        <v>0973524212100IM_A0</v>
      </c>
      <c r="H118" s="275" t="s">
        <v>6</v>
      </c>
      <c r="I118" s="275"/>
      <c r="J118" s="273" t="s">
        <v>1427</v>
      </c>
      <c r="K118" s="337" t="s">
        <v>1408</v>
      </c>
    </row>
    <row r="119" spans="1:11" ht="21.75" x14ac:dyDescent="0.25">
      <c r="A119" s="70"/>
      <c r="B119" s="273">
        <v>62</v>
      </c>
      <c r="C119" s="273">
        <f>VLOOKUP(Tabla2910[[#This Row],[Código INDRA]],Tabla13[[Código Indra]:[ID2]],24,FALSE)</f>
        <v>98</v>
      </c>
      <c r="D119" s="274"/>
      <c r="E119" s="330" t="s">
        <v>643</v>
      </c>
      <c r="F119" s="275" t="s">
        <v>71</v>
      </c>
      <c r="G119" s="273" t="str">
        <f>_xlfn.CONCAT(MID(Tabla2910[[#This Row],[Código INDRA]],1,13),"IM",MID(Tabla2910[[#This Row],[Código INDRA]],15,2),"_",Tabla2910[[#This Row],[Versión]])</f>
        <v>0973524190300IM_A0</v>
      </c>
      <c r="H119" s="275" t="s">
        <v>6</v>
      </c>
      <c r="I119" s="275"/>
      <c r="J119" s="273" t="s">
        <v>7</v>
      </c>
      <c r="K119" s="273"/>
    </row>
    <row r="120" spans="1:11" ht="21.75" x14ac:dyDescent="0.25">
      <c r="A120" s="70"/>
      <c r="B120" s="273">
        <v>63</v>
      </c>
      <c r="C120" s="273">
        <f>VLOOKUP(Tabla2910[[#This Row],[Código INDRA]],Tabla13[[Código Indra]:[ID2]],24,FALSE)</f>
        <v>105</v>
      </c>
      <c r="D120" s="310"/>
      <c r="E120" s="352" t="s">
        <v>73</v>
      </c>
      <c r="F120" s="335" t="s">
        <v>1269</v>
      </c>
      <c r="G120" s="273" t="str">
        <f>_xlfn.CONCAT(MID(Tabla2910[[#This Row],[Código INDRA]],1,13),"IM",MID(Tabla2910[[#This Row],[Código INDRA]],15,2),"_",Tabla2910[[#This Row],[Versión]])</f>
        <v>0973524190100IM_A0</v>
      </c>
      <c r="H120" s="275" t="s">
        <v>6</v>
      </c>
      <c r="I120" s="275"/>
      <c r="J120" s="309" t="s">
        <v>1427</v>
      </c>
      <c r="K120" s="333" t="s">
        <v>1408</v>
      </c>
    </row>
    <row r="121" spans="1:11" ht="87" x14ac:dyDescent="0.25">
      <c r="B121" s="273"/>
      <c r="C121" s="273">
        <f>VLOOKUP(Tabla2910[[#This Row],[Código INDRA]],Tabla13[[Código Indra]:[ID2]],24,FALSE)</f>
        <v>419</v>
      </c>
      <c r="D121" s="274"/>
      <c r="E121" s="273" t="s">
        <v>19</v>
      </c>
      <c r="F121" s="275" t="s">
        <v>20</v>
      </c>
      <c r="G121" s="273" t="str">
        <f>_xlfn.CONCAT(MID(Tabla2910[[#This Row],[Código INDRA]],1,13),"IM",MID(Tabla2910[[#This Row],[Código INDRA]],15,2),"_",Tabla2910[[#This Row],[Versión]])</f>
        <v>0973524430100IM_A1</v>
      </c>
      <c r="H121" s="275" t="s">
        <v>1451</v>
      </c>
      <c r="I121" s="275" t="s">
        <v>1452</v>
      </c>
      <c r="J121" s="273" t="s">
        <v>7</v>
      </c>
      <c r="K121" s="273" t="s">
        <v>1408</v>
      </c>
    </row>
  </sheetData>
  <sheetProtection formatRows="0" sort="0" autoFilter="0"/>
  <mergeCells count="4">
    <mergeCell ref="D2:D3"/>
    <mergeCell ref="F5:G5"/>
    <mergeCell ref="A13:A14"/>
    <mergeCell ref="C5:D5"/>
  </mergeCells>
  <phoneticPr fontId="21" type="noConversion"/>
  <pageMargins left="0.7" right="0.7" top="0.75" bottom="0.75" header="0.3" footer="0.3"/>
  <pageSetup paperSize="9" fitToWidth="0"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1">
    <tabColor theme="0" tint="-0.34998626667073579"/>
    <pageSetUpPr fitToPage="1"/>
  </sheetPr>
  <dimension ref="A1:F62"/>
  <sheetViews>
    <sheetView workbookViewId="0">
      <selection activeCell="D82" sqref="D82"/>
    </sheetView>
  </sheetViews>
  <sheetFormatPr baseColWidth="10" defaultColWidth="9.42578125" defaultRowHeight="15" x14ac:dyDescent="0.25"/>
  <cols>
    <col min="1" max="1" width="10" customWidth="1"/>
    <col min="2" max="2" width="3.42578125" customWidth="1"/>
    <col min="3" max="3" width="46.5703125" customWidth="1"/>
    <col min="4" max="4" width="17.5703125" customWidth="1"/>
    <col min="5" max="5" width="39" customWidth="1"/>
    <col min="6" max="6" width="19" customWidth="1"/>
  </cols>
  <sheetData>
    <row r="1" spans="1:6" x14ac:dyDescent="0.25">
      <c r="A1" s="13" t="s">
        <v>1453</v>
      </c>
      <c r="B1" s="14" t="s">
        <v>1454</v>
      </c>
      <c r="C1" s="13" t="s">
        <v>1455</v>
      </c>
      <c r="D1" s="13" t="s">
        <v>1456</v>
      </c>
      <c r="E1" s="3"/>
      <c r="F1" s="3"/>
    </row>
    <row r="2" spans="1:6" x14ac:dyDescent="0.25">
      <c r="A2" s="15"/>
      <c r="B2" s="16"/>
      <c r="C2" s="15"/>
      <c r="D2" s="17"/>
      <c r="E2" s="2"/>
      <c r="F2" s="2"/>
    </row>
    <row r="3" spans="1:6" x14ac:dyDescent="0.25">
      <c r="A3" s="18"/>
      <c r="B3" s="19">
        <v>1</v>
      </c>
      <c r="C3" s="20" t="s">
        <v>1457</v>
      </c>
      <c r="D3" s="21" t="s">
        <v>1458</v>
      </c>
      <c r="E3" s="2"/>
      <c r="F3" s="2"/>
    </row>
    <row r="4" spans="1:6" x14ac:dyDescent="0.25">
      <c r="A4" s="18"/>
      <c r="B4" s="19">
        <v>2</v>
      </c>
      <c r="C4" s="22" t="s">
        <v>1459</v>
      </c>
      <c r="D4" s="21" t="s">
        <v>1460</v>
      </c>
      <c r="E4" s="2"/>
      <c r="F4" s="2"/>
    </row>
    <row r="5" spans="1:6" x14ac:dyDescent="0.25">
      <c r="A5" s="11" t="s">
        <v>1461</v>
      </c>
      <c r="B5" s="19">
        <v>2</v>
      </c>
      <c r="C5" s="11" t="s">
        <v>1423</v>
      </c>
      <c r="D5" s="23" t="s">
        <v>1422</v>
      </c>
      <c r="E5" s="2"/>
      <c r="F5" s="2"/>
    </row>
    <row r="6" spans="1:6" x14ac:dyDescent="0.25">
      <c r="A6" s="11" t="s">
        <v>1462</v>
      </c>
      <c r="B6" s="19">
        <v>3</v>
      </c>
      <c r="C6" s="24" t="s">
        <v>98</v>
      </c>
      <c r="D6" s="12" t="s">
        <v>97</v>
      </c>
      <c r="E6" s="2"/>
      <c r="F6" s="2"/>
    </row>
    <row r="7" spans="1:6" x14ac:dyDescent="0.25">
      <c r="A7" s="25" t="s">
        <v>1463</v>
      </c>
      <c r="B7" s="26">
        <v>4</v>
      </c>
      <c r="C7" s="28" t="s">
        <v>121</v>
      </c>
      <c r="D7" s="12" t="s">
        <v>120</v>
      </c>
      <c r="E7" s="2"/>
      <c r="F7" s="2"/>
    </row>
    <row r="8" spans="1:6" x14ac:dyDescent="0.25">
      <c r="A8" s="25" t="s">
        <v>1464</v>
      </c>
      <c r="B8" s="26">
        <v>4</v>
      </c>
      <c r="C8" s="28" t="s">
        <v>124</v>
      </c>
      <c r="D8" s="12" t="s">
        <v>123</v>
      </c>
      <c r="E8" s="2"/>
      <c r="F8" s="2"/>
    </row>
    <row r="9" spans="1:6" x14ac:dyDescent="0.25">
      <c r="A9" s="25" t="s">
        <v>1465</v>
      </c>
      <c r="B9" s="26">
        <v>4</v>
      </c>
      <c r="C9" s="28" t="s">
        <v>126</v>
      </c>
      <c r="D9" s="12" t="s">
        <v>125</v>
      </c>
      <c r="E9" s="2"/>
      <c r="F9" s="2"/>
    </row>
    <row r="10" spans="1:6" x14ac:dyDescent="0.25">
      <c r="A10" s="25" t="s">
        <v>1466</v>
      </c>
      <c r="B10" s="26">
        <v>4</v>
      </c>
      <c r="C10" s="28" t="s">
        <v>128</v>
      </c>
      <c r="D10" s="12" t="s">
        <v>127</v>
      </c>
      <c r="E10" s="2"/>
      <c r="F10" s="2"/>
    </row>
    <row r="11" spans="1:6" x14ac:dyDescent="0.25">
      <c r="A11" s="29" t="s">
        <v>1467</v>
      </c>
      <c r="B11" s="30">
        <v>4</v>
      </c>
      <c r="C11" s="31" t="s">
        <v>134</v>
      </c>
      <c r="D11" s="12" t="s">
        <v>133</v>
      </c>
      <c r="E11" s="2"/>
      <c r="F11" s="2"/>
    </row>
    <row r="12" spans="1:6" x14ac:dyDescent="0.25">
      <c r="A12" s="29" t="s">
        <v>1468</v>
      </c>
      <c r="B12" s="30">
        <v>4</v>
      </c>
      <c r="C12" s="31" t="s">
        <v>131</v>
      </c>
      <c r="D12" s="12" t="s">
        <v>130</v>
      </c>
      <c r="E12" s="2"/>
      <c r="F12" s="2"/>
    </row>
    <row r="13" spans="1:6" x14ac:dyDescent="0.25">
      <c r="A13" s="32" t="s">
        <v>1469</v>
      </c>
      <c r="B13" s="30">
        <v>4</v>
      </c>
      <c r="C13" s="33" t="s">
        <v>137</v>
      </c>
      <c r="D13" s="12" t="s">
        <v>136</v>
      </c>
      <c r="E13" s="2"/>
      <c r="F13" s="2"/>
    </row>
    <row r="14" spans="1:6" x14ac:dyDescent="0.25">
      <c r="A14" s="32" t="s">
        <v>1470</v>
      </c>
      <c r="B14" s="30">
        <v>4</v>
      </c>
      <c r="C14" s="34" t="s">
        <v>139</v>
      </c>
      <c r="D14" s="12" t="s">
        <v>138</v>
      </c>
      <c r="E14" s="2"/>
      <c r="F14" s="2"/>
    </row>
    <row r="15" spans="1:6" x14ac:dyDescent="0.25">
      <c r="A15" s="29" t="s">
        <v>1471</v>
      </c>
      <c r="B15" s="30">
        <v>4</v>
      </c>
      <c r="C15" s="35" t="s">
        <v>142</v>
      </c>
      <c r="D15" s="12" t="s">
        <v>385</v>
      </c>
      <c r="E15" s="2"/>
      <c r="F15" s="2"/>
    </row>
    <row r="16" spans="1:6" x14ac:dyDescent="0.25">
      <c r="A16" s="29" t="s">
        <v>1472</v>
      </c>
      <c r="B16" s="30">
        <v>4</v>
      </c>
      <c r="C16" s="36" t="s">
        <v>145</v>
      </c>
      <c r="D16" s="12" t="s">
        <v>144</v>
      </c>
      <c r="E16" s="2"/>
      <c r="F16" s="2"/>
    </row>
    <row r="17" spans="1:6" x14ac:dyDescent="0.25">
      <c r="A17" s="29" t="s">
        <v>1473</v>
      </c>
      <c r="B17" s="30">
        <v>4</v>
      </c>
      <c r="C17" s="36" t="s">
        <v>148</v>
      </c>
      <c r="D17" s="12" t="s">
        <v>147</v>
      </c>
      <c r="E17" s="2"/>
      <c r="F17" s="2"/>
    </row>
    <row r="18" spans="1:6" x14ac:dyDescent="0.25">
      <c r="A18" s="37" t="s">
        <v>1474</v>
      </c>
      <c r="B18" s="38">
        <v>3</v>
      </c>
      <c r="C18" s="24" t="s">
        <v>101</v>
      </c>
      <c r="D18" s="12" t="s">
        <v>1475</v>
      </c>
      <c r="E18" s="2"/>
      <c r="F18" s="2"/>
    </row>
    <row r="19" spans="1:6" x14ac:dyDescent="0.25">
      <c r="A19" s="25" t="s">
        <v>1476</v>
      </c>
      <c r="B19" s="26">
        <v>2</v>
      </c>
      <c r="C19" s="25" t="s">
        <v>190</v>
      </c>
      <c r="D19" s="12" t="s">
        <v>189</v>
      </c>
      <c r="E19" s="2"/>
      <c r="F19" s="2"/>
    </row>
    <row r="20" spans="1:6" x14ac:dyDescent="0.25">
      <c r="A20" s="25" t="s">
        <v>1477</v>
      </c>
      <c r="B20" s="26">
        <v>3</v>
      </c>
      <c r="C20" s="39" t="s">
        <v>26</v>
      </c>
      <c r="D20" s="12" t="s">
        <v>25</v>
      </c>
      <c r="E20" s="2"/>
      <c r="F20" s="2"/>
    </row>
    <row r="21" spans="1:6" x14ac:dyDescent="0.25">
      <c r="A21" s="25" t="s">
        <v>558</v>
      </c>
      <c r="B21" s="26">
        <v>3</v>
      </c>
      <c r="C21" s="10" t="s">
        <v>31</v>
      </c>
      <c r="D21" s="12" t="s">
        <v>30</v>
      </c>
      <c r="E21" s="2"/>
      <c r="F21" s="2"/>
    </row>
    <row r="22" spans="1:6" x14ac:dyDescent="0.25">
      <c r="A22" s="25" t="s">
        <v>1478</v>
      </c>
      <c r="B22" s="26">
        <v>3</v>
      </c>
      <c r="C22" s="10" t="s">
        <v>36</v>
      </c>
      <c r="D22" s="12" t="s">
        <v>35</v>
      </c>
      <c r="E22" s="2"/>
      <c r="F22" s="2"/>
    </row>
    <row r="23" spans="1:6" x14ac:dyDescent="0.25">
      <c r="A23" s="40" t="s">
        <v>1479</v>
      </c>
      <c r="B23" s="41">
        <v>3</v>
      </c>
      <c r="C23" s="24" t="s">
        <v>41</v>
      </c>
      <c r="D23" s="12" t="s">
        <v>40</v>
      </c>
      <c r="E23" s="2"/>
      <c r="F23" s="2"/>
    </row>
    <row r="24" spans="1:6" x14ac:dyDescent="0.25">
      <c r="A24" s="25" t="s">
        <v>1480</v>
      </c>
      <c r="B24" s="26">
        <v>3</v>
      </c>
      <c r="C24" s="10" t="s">
        <v>182</v>
      </c>
      <c r="D24" s="12" t="s">
        <v>181</v>
      </c>
      <c r="E24" s="2"/>
      <c r="F24" s="2"/>
    </row>
    <row r="25" spans="1:6" x14ac:dyDescent="0.25">
      <c r="A25" s="25" t="s">
        <v>1481</v>
      </c>
      <c r="B25" s="26">
        <v>3</v>
      </c>
      <c r="C25" s="10" t="s">
        <v>185</v>
      </c>
      <c r="D25" s="12" t="s">
        <v>184</v>
      </c>
      <c r="E25" s="2"/>
      <c r="F25" s="2"/>
    </row>
    <row r="26" spans="1:6" x14ac:dyDescent="0.25">
      <c r="A26" s="25" t="s">
        <v>1482</v>
      </c>
      <c r="B26" s="26">
        <v>2</v>
      </c>
      <c r="C26" s="42" t="s">
        <v>193</v>
      </c>
      <c r="D26" s="12" t="s">
        <v>192</v>
      </c>
      <c r="E26" s="2"/>
      <c r="F26" s="2"/>
    </row>
    <row r="27" spans="1:6" x14ac:dyDescent="0.25">
      <c r="A27" s="25" t="s">
        <v>1483</v>
      </c>
      <c r="B27" s="26">
        <v>2</v>
      </c>
      <c r="C27" s="42" t="s">
        <v>50</v>
      </c>
      <c r="D27" s="12" t="s">
        <v>49</v>
      </c>
      <c r="E27" s="2"/>
      <c r="F27" s="2"/>
    </row>
    <row r="28" spans="1:6" x14ac:dyDescent="0.25">
      <c r="A28" s="25" t="s">
        <v>1484</v>
      </c>
      <c r="B28" s="26">
        <v>2</v>
      </c>
      <c r="C28" s="42" t="s">
        <v>116</v>
      </c>
      <c r="D28" s="12" t="s">
        <v>115</v>
      </c>
      <c r="E28" s="2"/>
      <c r="F28" s="2"/>
    </row>
    <row r="29" spans="1:6" x14ac:dyDescent="0.25">
      <c r="A29" s="25" t="s">
        <v>1485</v>
      </c>
      <c r="B29" s="26">
        <v>2</v>
      </c>
      <c r="C29" s="42" t="s">
        <v>112</v>
      </c>
      <c r="D29" s="12" t="s">
        <v>111</v>
      </c>
      <c r="E29" s="2"/>
      <c r="F29" s="2"/>
    </row>
    <row r="30" spans="1:6" x14ac:dyDescent="0.25">
      <c r="A30" s="25" t="s">
        <v>1486</v>
      </c>
      <c r="B30" s="26">
        <v>2</v>
      </c>
      <c r="C30" s="42" t="s">
        <v>156</v>
      </c>
      <c r="D30" s="9" t="s">
        <v>155</v>
      </c>
      <c r="E30" s="2"/>
      <c r="F30" s="2"/>
    </row>
    <row r="31" spans="1:6" x14ac:dyDescent="0.25">
      <c r="A31" s="25" t="s">
        <v>1487</v>
      </c>
      <c r="B31" s="26">
        <v>2</v>
      </c>
      <c r="C31" s="42" t="s">
        <v>1488</v>
      </c>
      <c r="D31" s="9" t="s">
        <v>1489</v>
      </c>
      <c r="E31" s="2"/>
      <c r="F31" s="2"/>
    </row>
    <row r="32" spans="1:6" x14ac:dyDescent="0.25">
      <c r="A32" s="25" t="s">
        <v>1490</v>
      </c>
      <c r="B32" s="26">
        <v>2</v>
      </c>
      <c r="C32" s="42" t="s">
        <v>1491</v>
      </c>
      <c r="D32" s="9" t="s">
        <v>1492</v>
      </c>
      <c r="E32" s="2"/>
      <c r="F32" s="2"/>
    </row>
    <row r="33" spans="1:6" x14ac:dyDescent="0.25">
      <c r="A33" s="25" t="s">
        <v>1493</v>
      </c>
      <c r="B33" s="26">
        <v>2</v>
      </c>
      <c r="C33" s="27" t="s">
        <v>961</v>
      </c>
      <c r="D33" s="9" t="s">
        <v>630</v>
      </c>
      <c r="E33" s="2"/>
      <c r="F33" s="2"/>
    </row>
    <row r="34" spans="1:6" x14ac:dyDescent="0.25">
      <c r="A34" s="25" t="s">
        <v>1494</v>
      </c>
      <c r="B34" s="26">
        <v>2</v>
      </c>
      <c r="C34" s="27" t="s">
        <v>119</v>
      </c>
      <c r="D34" s="9" t="s">
        <v>1495</v>
      </c>
      <c r="E34" s="2"/>
      <c r="F34" s="2"/>
    </row>
    <row r="35" spans="1:6" x14ac:dyDescent="0.25">
      <c r="A35" s="25" t="s">
        <v>1496</v>
      </c>
      <c r="B35" s="26">
        <v>2</v>
      </c>
      <c r="C35" s="42" t="s">
        <v>170</v>
      </c>
      <c r="D35" s="12" t="s">
        <v>169</v>
      </c>
      <c r="E35" s="2"/>
      <c r="F35" s="2"/>
    </row>
    <row r="36" spans="1:6" x14ac:dyDescent="0.25">
      <c r="A36" s="25" t="s">
        <v>1497</v>
      </c>
      <c r="B36" s="26">
        <v>2</v>
      </c>
      <c r="C36" s="42" t="s">
        <v>1498</v>
      </c>
      <c r="D36" s="12" t="s">
        <v>1499</v>
      </c>
      <c r="E36" s="2"/>
      <c r="F36" s="2"/>
    </row>
    <row r="37" spans="1:6" x14ac:dyDescent="0.25">
      <c r="A37" s="25" t="s">
        <v>1500</v>
      </c>
      <c r="B37" s="26">
        <v>2</v>
      </c>
      <c r="C37" s="42" t="s">
        <v>1501</v>
      </c>
      <c r="D37" s="12" t="s">
        <v>1502</v>
      </c>
      <c r="E37" s="2"/>
      <c r="F37" s="2"/>
    </row>
    <row r="38" spans="1:6" x14ac:dyDescent="0.25">
      <c r="A38" s="25" t="s">
        <v>1503</v>
      </c>
      <c r="B38" s="26">
        <v>2</v>
      </c>
      <c r="C38" s="42" t="s">
        <v>187</v>
      </c>
      <c r="D38" s="12" t="s">
        <v>186</v>
      </c>
      <c r="E38" s="2"/>
      <c r="F38" s="2"/>
    </row>
    <row r="39" spans="1:6" x14ac:dyDescent="0.25">
      <c r="A39" s="2"/>
      <c r="B39" s="2"/>
      <c r="C39" s="2"/>
      <c r="D39" s="2"/>
      <c r="E39" s="2"/>
      <c r="F39" s="2"/>
    </row>
    <row r="40" spans="1:6" x14ac:dyDescent="0.25">
      <c r="A40" s="2"/>
      <c r="B40" s="2"/>
      <c r="C40" s="2"/>
      <c r="D40" s="2"/>
      <c r="E40" s="2"/>
      <c r="F40" s="2"/>
    </row>
    <row r="41" spans="1:6" x14ac:dyDescent="0.25">
      <c r="A41" s="2"/>
      <c r="B41" s="2"/>
      <c r="C41" s="2"/>
      <c r="D41" s="2"/>
      <c r="E41" s="2"/>
      <c r="F41" s="2"/>
    </row>
    <row r="42" spans="1:6" x14ac:dyDescent="0.25">
      <c r="A42" s="2"/>
      <c r="B42" s="2"/>
      <c r="C42" s="2"/>
      <c r="D42" s="2"/>
      <c r="E42" s="2"/>
      <c r="F42" s="2"/>
    </row>
    <row r="43" spans="1:6" x14ac:dyDescent="0.25">
      <c r="A43" s="2"/>
      <c r="B43" s="2"/>
      <c r="C43" s="2"/>
      <c r="D43" s="2"/>
      <c r="E43" s="2"/>
      <c r="F43" s="2"/>
    </row>
    <row r="44" spans="1:6" x14ac:dyDescent="0.25">
      <c r="A44" s="2"/>
      <c r="B44" s="2"/>
      <c r="C44" s="2"/>
      <c r="D44" s="2"/>
      <c r="E44" s="2"/>
      <c r="F44" s="2"/>
    </row>
    <row r="45" spans="1:6" x14ac:dyDescent="0.25">
      <c r="A45" s="2"/>
      <c r="B45" s="2"/>
      <c r="C45" s="2"/>
      <c r="D45" s="2"/>
      <c r="E45" s="2"/>
      <c r="F45" s="2"/>
    </row>
    <row r="46" spans="1:6" x14ac:dyDescent="0.25">
      <c r="A46" s="2"/>
      <c r="B46" s="2"/>
      <c r="C46" s="2"/>
      <c r="D46" s="2"/>
      <c r="E46" s="2"/>
      <c r="F46" s="2"/>
    </row>
    <row r="47" spans="1:6" x14ac:dyDescent="0.25">
      <c r="A47" s="2"/>
      <c r="B47" s="2"/>
      <c r="C47" s="2"/>
      <c r="D47" s="2"/>
      <c r="E47" s="2"/>
      <c r="F47" s="2"/>
    </row>
    <row r="48" spans="1:6" x14ac:dyDescent="0.25">
      <c r="A48" s="2"/>
      <c r="B48" s="2"/>
      <c r="C48" s="2"/>
      <c r="D48" s="2"/>
      <c r="E48" s="2"/>
      <c r="F48" s="2"/>
    </row>
    <row r="49" spans="1:6" x14ac:dyDescent="0.25">
      <c r="A49" s="2"/>
      <c r="B49" s="2"/>
      <c r="C49" s="2"/>
      <c r="D49" s="2"/>
      <c r="E49" s="2"/>
      <c r="F49" s="2"/>
    </row>
    <row r="50" spans="1:6" x14ac:dyDescent="0.25">
      <c r="A50" s="2"/>
      <c r="B50" s="2"/>
      <c r="C50" s="2"/>
      <c r="D50" s="2"/>
      <c r="E50" s="2"/>
      <c r="F50" s="2"/>
    </row>
    <row r="51" spans="1:6" x14ac:dyDescent="0.25">
      <c r="A51" s="2"/>
      <c r="B51" s="2"/>
      <c r="C51" s="2"/>
      <c r="D51" s="2"/>
      <c r="E51" s="2"/>
      <c r="F51" s="2"/>
    </row>
    <row r="52" spans="1:6" x14ac:dyDescent="0.25">
      <c r="A52" s="2"/>
      <c r="B52" s="2"/>
      <c r="C52" s="2"/>
      <c r="D52" s="2"/>
      <c r="E52" s="2"/>
      <c r="F52" s="2"/>
    </row>
    <row r="53" spans="1:6" x14ac:dyDescent="0.25">
      <c r="A53" s="2"/>
      <c r="B53" s="2"/>
      <c r="C53" s="2"/>
      <c r="D53" s="2"/>
      <c r="E53" s="2"/>
      <c r="F53" s="2"/>
    </row>
    <row r="54" spans="1:6" x14ac:dyDescent="0.25">
      <c r="A54" s="2"/>
      <c r="B54" s="2"/>
      <c r="C54" s="2"/>
      <c r="D54" s="2"/>
      <c r="E54" s="2"/>
      <c r="F54" s="2"/>
    </row>
    <row r="55" spans="1:6" x14ac:dyDescent="0.25">
      <c r="A55" s="2"/>
      <c r="B55" s="2"/>
      <c r="C55" s="2"/>
      <c r="D55" s="2"/>
      <c r="E55" s="2"/>
      <c r="F55" s="2"/>
    </row>
    <row r="56" spans="1:6" x14ac:dyDescent="0.25">
      <c r="A56" s="2"/>
      <c r="B56" s="2"/>
      <c r="C56" s="2"/>
      <c r="D56" s="2"/>
      <c r="E56" s="2"/>
      <c r="F56" s="2"/>
    </row>
    <row r="57" spans="1:6" x14ac:dyDescent="0.25">
      <c r="A57" s="2"/>
      <c r="B57" s="2"/>
      <c r="C57" s="2"/>
      <c r="D57" s="2"/>
      <c r="E57" s="2"/>
      <c r="F57" s="2"/>
    </row>
    <row r="58" spans="1:6" x14ac:dyDescent="0.25">
      <c r="A58" s="2"/>
      <c r="B58" s="2"/>
      <c r="C58" s="2"/>
      <c r="D58" s="2"/>
      <c r="E58" s="2"/>
      <c r="F58" s="2"/>
    </row>
    <row r="59" spans="1:6" x14ac:dyDescent="0.25">
      <c r="A59" s="2"/>
      <c r="B59" s="2"/>
      <c r="C59" s="2"/>
      <c r="D59" s="2"/>
      <c r="E59" s="2"/>
      <c r="F59" s="2"/>
    </row>
    <row r="60" spans="1:6" x14ac:dyDescent="0.25">
      <c r="A60" s="2"/>
      <c r="B60" s="2"/>
      <c r="C60" s="2"/>
      <c r="D60" s="2"/>
      <c r="E60" s="2"/>
      <c r="F60" s="2"/>
    </row>
    <row r="61" spans="1:6" x14ac:dyDescent="0.25">
      <c r="A61" s="2"/>
      <c r="B61" s="2"/>
      <c r="C61" s="2"/>
      <c r="D61" s="2"/>
      <c r="E61" s="2"/>
      <c r="F61" s="2"/>
    </row>
    <row r="62" spans="1:6" x14ac:dyDescent="0.25">
      <c r="A62" s="2"/>
      <c r="B62" s="2"/>
      <c r="C62" s="2"/>
      <c r="D62" s="2"/>
      <c r="E62" s="2"/>
      <c r="F62" s="2"/>
    </row>
  </sheetData>
  <autoFilter ref="A1:F62" xr:uid="{00000000-0009-0000-0000-000000000000}"/>
  <pageMargins left="0.7" right="0.7" top="0.75" bottom="0.75" header="0.3" footer="0.3"/>
  <pageSetup paperSize="8" scale="64"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6EEB7-1CBA-4EA2-BA90-9E65C97B8EFA}">
  <sheetPr codeName="Hoja18"/>
  <dimension ref="A1:AF21"/>
  <sheetViews>
    <sheetView zoomScaleNormal="100" workbookViewId="0">
      <selection activeCell="L13" sqref="L13"/>
    </sheetView>
  </sheetViews>
  <sheetFormatPr baseColWidth="10" defaultColWidth="11.42578125" defaultRowHeight="15" customHeight="1" x14ac:dyDescent="0.25"/>
  <cols>
    <col min="1" max="1" width="18.42578125" style="68" customWidth="1"/>
    <col min="2" max="4" width="14.5703125" style="68" customWidth="1"/>
    <col min="5" max="5" width="10.5703125" customWidth="1"/>
    <col min="6" max="31" width="11.42578125" customWidth="1"/>
    <col min="32" max="32" width="11.5703125" bestFit="1" customWidth="1"/>
  </cols>
  <sheetData>
    <row r="1" spans="1:32" ht="15" customHeight="1" x14ac:dyDescent="0.25">
      <c r="A1" s="667" t="s">
        <v>1504</v>
      </c>
      <c r="B1" s="667"/>
      <c r="C1" s="667"/>
      <c r="D1" s="667"/>
      <c r="E1" s="667"/>
      <c r="F1" s="667"/>
      <c r="G1" s="667"/>
      <c r="H1" s="105"/>
      <c r="I1" s="105"/>
      <c r="J1" s="105"/>
      <c r="K1" s="105"/>
      <c r="L1" s="105"/>
      <c r="M1" s="105"/>
      <c r="N1" s="105"/>
      <c r="O1" s="105"/>
      <c r="P1" s="105"/>
      <c r="Q1" s="105"/>
      <c r="R1" s="105"/>
      <c r="S1" s="105"/>
      <c r="T1" s="105"/>
      <c r="U1" s="105"/>
      <c r="V1" s="105"/>
      <c r="W1" s="105"/>
      <c r="X1" s="105"/>
      <c r="Y1" s="105"/>
      <c r="Z1" s="105"/>
      <c r="AA1" s="105"/>
      <c r="AB1" s="105"/>
      <c r="AC1" s="105"/>
      <c r="AD1" s="105"/>
      <c r="AE1" s="105"/>
    </row>
    <row r="2" spans="1:32" ht="15" customHeight="1" x14ac:dyDescent="0.25">
      <c r="A2" s="5"/>
      <c r="B2" s="5">
        <v>45572</v>
      </c>
      <c r="C2" s="5">
        <v>45579</v>
      </c>
      <c r="D2" s="5">
        <v>45586</v>
      </c>
      <c r="E2" s="78">
        <v>45593</v>
      </c>
      <c r="F2" s="78">
        <v>45600</v>
      </c>
      <c r="G2" s="89">
        <v>45607</v>
      </c>
      <c r="H2" s="89">
        <v>45618</v>
      </c>
      <c r="I2" s="89">
        <v>45622</v>
      </c>
      <c r="J2" s="89">
        <v>45624</v>
      </c>
      <c r="K2" s="89">
        <v>45625</v>
      </c>
      <c r="L2" s="89">
        <v>45628</v>
      </c>
      <c r="M2" s="89">
        <v>45629</v>
      </c>
      <c r="N2" s="89">
        <v>45639</v>
      </c>
      <c r="O2" s="89">
        <v>45666</v>
      </c>
      <c r="P2" s="89">
        <v>45680</v>
      </c>
      <c r="Q2" s="89">
        <v>45694</v>
      </c>
      <c r="R2" s="89">
        <v>45703</v>
      </c>
      <c r="S2" s="89">
        <v>45714</v>
      </c>
      <c r="T2" s="89">
        <v>45721</v>
      </c>
      <c r="U2" s="89">
        <v>45722</v>
      </c>
      <c r="V2" s="89">
        <v>45730</v>
      </c>
      <c r="W2" s="89">
        <v>45744</v>
      </c>
      <c r="X2" s="89">
        <v>45747</v>
      </c>
      <c r="Y2" s="89">
        <v>45768</v>
      </c>
      <c r="Z2" s="89">
        <v>45777</v>
      </c>
      <c r="AA2" s="89">
        <v>45803</v>
      </c>
      <c r="AB2" s="89">
        <v>45831</v>
      </c>
      <c r="AC2" s="89">
        <v>45846</v>
      </c>
      <c r="AD2" s="89">
        <v>45869</v>
      </c>
      <c r="AE2" s="89">
        <v>45909</v>
      </c>
      <c r="AF2" s="89">
        <f ca="1">TODAY()</f>
        <v>46138</v>
      </c>
    </row>
    <row r="3" spans="1:32" s="130" customFormat="1" ht="15" customHeight="1" x14ac:dyDescent="0.25">
      <c r="A3" s="444" t="s">
        <v>213</v>
      </c>
      <c r="B3" s="130">
        <v>184</v>
      </c>
      <c r="C3" s="130">
        <v>198</v>
      </c>
      <c r="D3" s="130">
        <v>211</v>
      </c>
      <c r="E3" s="130">
        <v>202</v>
      </c>
      <c r="F3" s="130">
        <v>252</v>
      </c>
      <c r="G3" s="130">
        <v>219</v>
      </c>
      <c r="H3" s="130">
        <v>225</v>
      </c>
      <c r="I3" s="130">
        <v>166</v>
      </c>
      <c r="J3" s="130">
        <v>134</v>
      </c>
      <c r="K3" s="130">
        <v>134</v>
      </c>
      <c r="L3" s="130">
        <v>127</v>
      </c>
      <c r="M3" s="130">
        <v>127</v>
      </c>
      <c r="N3" s="130">
        <v>98</v>
      </c>
      <c r="O3" s="130">
        <v>41</v>
      </c>
      <c r="P3" s="130">
        <v>31</v>
      </c>
      <c r="Q3" s="130">
        <v>52</v>
      </c>
      <c r="R3" s="130">
        <v>59</v>
      </c>
      <c r="S3" s="130">
        <v>35</v>
      </c>
      <c r="T3" s="130">
        <v>22</v>
      </c>
      <c r="U3" s="130">
        <v>22</v>
      </c>
      <c r="V3" s="130">
        <v>21</v>
      </c>
      <c r="W3" s="130">
        <v>17</v>
      </c>
      <c r="X3" s="130">
        <v>15</v>
      </c>
      <c r="Y3" s="130">
        <v>16</v>
      </c>
      <c r="Z3" s="130">
        <v>11</v>
      </c>
      <c r="AA3" s="130">
        <v>9</v>
      </c>
      <c r="AB3" s="130">
        <v>12</v>
      </c>
      <c r="AC3" s="130">
        <v>9</v>
      </c>
      <c r="AD3" s="130">
        <v>3</v>
      </c>
      <c r="AE3" s="130">
        <v>1</v>
      </c>
      <c r="AF3" s="130">
        <f>Dashboard!E14+Dashboard!F14+Dashboard!G14</f>
        <v>0</v>
      </c>
    </row>
    <row r="4" spans="1:32" s="130" customFormat="1" ht="15" customHeight="1" x14ac:dyDescent="0.25">
      <c r="A4" s="444" t="s">
        <v>1505</v>
      </c>
      <c r="B4" s="130">
        <v>0</v>
      </c>
      <c r="C4" s="130">
        <v>0</v>
      </c>
      <c r="D4" s="130">
        <v>0</v>
      </c>
      <c r="E4" s="130">
        <v>0</v>
      </c>
      <c r="F4" s="130">
        <v>0</v>
      </c>
      <c r="G4" s="130">
        <v>0</v>
      </c>
      <c r="H4" s="130">
        <v>0</v>
      </c>
      <c r="I4" s="130">
        <v>0</v>
      </c>
      <c r="J4" s="130">
        <v>24</v>
      </c>
      <c r="K4" s="130">
        <v>24</v>
      </c>
      <c r="L4" s="130">
        <v>30</v>
      </c>
      <c r="M4" s="130">
        <v>30</v>
      </c>
      <c r="N4" s="130">
        <v>0</v>
      </c>
      <c r="O4" s="130">
        <v>0</v>
      </c>
      <c r="P4" s="130">
        <v>1</v>
      </c>
      <c r="Q4" s="130">
        <v>0</v>
      </c>
      <c r="R4" s="130">
        <v>0</v>
      </c>
      <c r="S4" s="130">
        <v>0</v>
      </c>
      <c r="T4" s="130">
        <v>0</v>
      </c>
      <c r="U4" s="130">
        <v>0</v>
      </c>
      <c r="V4" s="130">
        <v>0</v>
      </c>
      <c r="W4" s="130">
        <v>1</v>
      </c>
      <c r="X4" s="130">
        <v>1</v>
      </c>
      <c r="Y4" s="130">
        <v>0</v>
      </c>
      <c r="Z4" s="130">
        <v>0</v>
      </c>
      <c r="AA4" s="130">
        <v>0</v>
      </c>
      <c r="AB4" s="130">
        <v>0</v>
      </c>
      <c r="AC4" s="130">
        <v>0</v>
      </c>
      <c r="AD4" s="130">
        <v>0</v>
      </c>
      <c r="AE4" s="130">
        <v>0</v>
      </c>
      <c r="AF4" s="130">
        <f>Dashboard!H14</f>
        <v>0</v>
      </c>
    </row>
    <row r="5" spans="1:32" s="130" customFormat="1" ht="15" customHeight="1" x14ac:dyDescent="0.25">
      <c r="A5" s="444" t="s">
        <v>215</v>
      </c>
      <c r="B5" s="130">
        <v>31</v>
      </c>
      <c r="C5" s="130">
        <v>17</v>
      </c>
      <c r="D5" s="130">
        <v>18</v>
      </c>
      <c r="E5" s="130">
        <v>25</v>
      </c>
      <c r="F5" s="130">
        <v>27</v>
      </c>
      <c r="G5" s="130">
        <v>56</v>
      </c>
      <c r="H5" s="130">
        <v>77</v>
      </c>
      <c r="I5" s="130">
        <v>124.00000000000001</v>
      </c>
      <c r="J5" s="130">
        <v>99</v>
      </c>
      <c r="K5" s="130">
        <v>83</v>
      </c>
      <c r="L5" s="130">
        <v>84</v>
      </c>
      <c r="M5" s="130">
        <v>73</v>
      </c>
      <c r="N5" s="130">
        <v>58</v>
      </c>
      <c r="O5" s="130">
        <v>95</v>
      </c>
      <c r="P5" s="130">
        <v>45</v>
      </c>
      <c r="Q5" s="130">
        <v>25</v>
      </c>
      <c r="R5" s="130">
        <v>32</v>
      </c>
      <c r="S5" s="130">
        <v>28</v>
      </c>
      <c r="T5" s="130">
        <v>25</v>
      </c>
      <c r="U5" s="130">
        <v>25</v>
      </c>
      <c r="V5" s="130">
        <v>16</v>
      </c>
      <c r="W5" s="130">
        <v>16</v>
      </c>
      <c r="X5" s="130">
        <v>14</v>
      </c>
      <c r="Y5" s="130">
        <v>12</v>
      </c>
      <c r="Z5" s="130">
        <v>5</v>
      </c>
      <c r="AA5" s="130">
        <v>4</v>
      </c>
      <c r="AB5" s="130">
        <v>0</v>
      </c>
      <c r="AC5" s="130">
        <v>1</v>
      </c>
      <c r="AD5" s="130">
        <v>2</v>
      </c>
      <c r="AE5" s="130">
        <v>2</v>
      </c>
      <c r="AF5" s="130">
        <f>Dashboard!I14+Dashboard!J14</f>
        <v>0</v>
      </c>
    </row>
    <row r="6" spans="1:32" s="130" customFormat="1" ht="15" customHeight="1" x14ac:dyDescent="0.25">
      <c r="A6" s="444" t="s">
        <v>1506</v>
      </c>
      <c r="B6" s="130">
        <v>20</v>
      </c>
      <c r="C6" s="130">
        <v>25</v>
      </c>
      <c r="D6" s="130">
        <v>17</v>
      </c>
      <c r="E6" s="130">
        <v>15</v>
      </c>
      <c r="F6" s="130">
        <v>16</v>
      </c>
      <c r="G6" s="130">
        <v>22</v>
      </c>
      <c r="H6" s="130">
        <v>14</v>
      </c>
      <c r="I6" s="130">
        <v>13</v>
      </c>
      <c r="J6" s="130">
        <v>30</v>
      </c>
      <c r="K6" s="130">
        <v>46</v>
      </c>
      <c r="L6" s="130">
        <v>46</v>
      </c>
      <c r="M6" s="130">
        <v>43</v>
      </c>
      <c r="N6" s="130">
        <v>28</v>
      </c>
      <c r="O6" s="130">
        <v>38</v>
      </c>
      <c r="P6" s="130">
        <v>73</v>
      </c>
      <c r="Q6" s="130">
        <v>77</v>
      </c>
      <c r="R6" s="130">
        <v>23</v>
      </c>
      <c r="S6" s="130">
        <v>18</v>
      </c>
      <c r="T6" s="130">
        <v>12</v>
      </c>
      <c r="U6" s="130">
        <v>4</v>
      </c>
      <c r="V6" s="130">
        <v>5</v>
      </c>
      <c r="W6" s="130">
        <v>15</v>
      </c>
      <c r="X6" s="130">
        <v>11</v>
      </c>
      <c r="Y6" s="130">
        <v>15</v>
      </c>
      <c r="Z6" s="130">
        <v>24</v>
      </c>
      <c r="AA6" s="130">
        <v>14</v>
      </c>
      <c r="AB6" s="130">
        <v>19</v>
      </c>
      <c r="AC6" s="130">
        <v>19</v>
      </c>
      <c r="AD6" s="130">
        <v>22</v>
      </c>
      <c r="AE6" s="130">
        <v>5</v>
      </c>
      <c r="AF6" s="130">
        <f>Dashboard!K14</f>
        <v>0</v>
      </c>
    </row>
    <row r="7" spans="1:32" s="130" customFormat="1" ht="15" customHeight="1" x14ac:dyDescent="0.25">
      <c r="A7" s="444" t="s">
        <v>218</v>
      </c>
      <c r="B7" s="130">
        <v>9</v>
      </c>
      <c r="C7" s="130">
        <v>18</v>
      </c>
      <c r="D7" s="130">
        <v>22</v>
      </c>
      <c r="E7" s="130">
        <v>22</v>
      </c>
      <c r="F7" s="130">
        <v>21</v>
      </c>
      <c r="G7" s="130">
        <v>15</v>
      </c>
      <c r="H7" s="130">
        <v>18</v>
      </c>
      <c r="I7" s="130">
        <v>17</v>
      </c>
      <c r="J7" s="130">
        <v>19</v>
      </c>
      <c r="K7" s="130">
        <v>19</v>
      </c>
      <c r="L7" s="130">
        <v>19</v>
      </c>
      <c r="M7" s="130">
        <v>25</v>
      </c>
      <c r="N7" s="130">
        <v>39</v>
      </c>
      <c r="O7" s="130">
        <v>38</v>
      </c>
      <c r="P7" s="130">
        <v>40</v>
      </c>
      <c r="Q7" s="130">
        <v>15</v>
      </c>
      <c r="R7" s="130">
        <v>29</v>
      </c>
      <c r="S7" s="130">
        <v>18</v>
      </c>
      <c r="T7" s="130">
        <v>22</v>
      </c>
      <c r="U7" s="130">
        <v>29</v>
      </c>
      <c r="V7" s="130">
        <v>27</v>
      </c>
      <c r="W7" s="130">
        <v>24</v>
      </c>
      <c r="X7" s="130">
        <v>28</v>
      </c>
      <c r="Y7" s="130">
        <v>14</v>
      </c>
      <c r="Z7" s="130">
        <v>16</v>
      </c>
      <c r="AA7" s="130">
        <v>30</v>
      </c>
      <c r="AB7" s="130">
        <v>29</v>
      </c>
      <c r="AC7" s="130">
        <v>47</v>
      </c>
      <c r="AD7" s="130">
        <v>34</v>
      </c>
      <c r="AE7" s="130">
        <v>17</v>
      </c>
      <c r="AF7" s="130">
        <f>Dashboard!L14+Dashboard!M14+Dashboard!N14</f>
        <v>1</v>
      </c>
    </row>
    <row r="8" spans="1:32" s="130" customFormat="1" ht="15" customHeight="1" x14ac:dyDescent="0.25">
      <c r="A8" s="444" t="s">
        <v>219</v>
      </c>
      <c r="B8" s="130">
        <v>3</v>
      </c>
      <c r="C8" s="130">
        <v>7</v>
      </c>
      <c r="D8" s="130">
        <v>16</v>
      </c>
      <c r="E8" s="130">
        <v>15</v>
      </c>
      <c r="F8" s="130">
        <v>9</v>
      </c>
      <c r="G8" s="130">
        <v>2</v>
      </c>
      <c r="H8" s="130">
        <v>33</v>
      </c>
      <c r="I8" s="130">
        <v>32</v>
      </c>
      <c r="J8" s="130">
        <v>32</v>
      </c>
      <c r="K8" s="130">
        <v>25</v>
      </c>
      <c r="L8" s="130">
        <v>25</v>
      </c>
      <c r="M8" s="130">
        <v>27</v>
      </c>
      <c r="N8" s="130">
        <v>45</v>
      </c>
      <c r="O8" s="130">
        <v>48</v>
      </c>
      <c r="P8" s="130">
        <v>31</v>
      </c>
      <c r="Q8" s="130">
        <v>44</v>
      </c>
      <c r="R8" s="130">
        <v>30</v>
      </c>
      <c r="S8" s="130">
        <v>20</v>
      </c>
      <c r="T8" s="130">
        <v>33</v>
      </c>
      <c r="U8" s="130">
        <v>33</v>
      </c>
      <c r="V8" s="130">
        <v>35</v>
      </c>
      <c r="W8" s="130">
        <v>35</v>
      </c>
      <c r="X8" s="130">
        <v>44</v>
      </c>
      <c r="Y8" s="130">
        <v>43</v>
      </c>
      <c r="Z8" s="130">
        <v>42</v>
      </c>
      <c r="AA8" s="130">
        <v>48</v>
      </c>
      <c r="AB8" s="130">
        <v>43</v>
      </c>
      <c r="AC8" s="130">
        <v>42</v>
      </c>
      <c r="AD8" s="130">
        <v>58</v>
      </c>
      <c r="AE8" s="130">
        <v>78</v>
      </c>
      <c r="AF8" s="130">
        <f>Dashboard!O14</f>
        <v>31</v>
      </c>
    </row>
    <row r="9" spans="1:32" s="130" customFormat="1" ht="15" customHeight="1" x14ac:dyDescent="0.25">
      <c r="A9" s="444" t="s">
        <v>1507</v>
      </c>
      <c r="B9" s="130">
        <v>0</v>
      </c>
      <c r="C9" s="130">
        <v>0</v>
      </c>
      <c r="D9" s="130">
        <v>0</v>
      </c>
      <c r="E9" s="130">
        <v>4</v>
      </c>
      <c r="F9" s="130">
        <v>12</v>
      </c>
      <c r="G9" s="130">
        <v>19</v>
      </c>
      <c r="H9" s="130">
        <v>20</v>
      </c>
      <c r="I9" s="130">
        <v>21</v>
      </c>
      <c r="J9" s="130">
        <v>30</v>
      </c>
      <c r="K9" s="130">
        <v>37</v>
      </c>
      <c r="L9" s="130">
        <v>37</v>
      </c>
      <c r="M9" s="130">
        <v>43</v>
      </c>
      <c r="N9" s="130">
        <v>81</v>
      </c>
      <c r="O9" s="130">
        <v>117</v>
      </c>
      <c r="P9" s="130">
        <v>152</v>
      </c>
      <c r="Q9" s="130">
        <v>178</v>
      </c>
      <c r="R9" s="130">
        <v>220</v>
      </c>
      <c r="S9" s="130">
        <v>274</v>
      </c>
      <c r="T9" s="130">
        <v>279</v>
      </c>
      <c r="U9" s="130">
        <v>279</v>
      </c>
      <c r="V9" s="130">
        <v>284</v>
      </c>
      <c r="W9" s="130">
        <v>286</v>
      </c>
      <c r="X9" s="130">
        <v>286</v>
      </c>
      <c r="Y9" s="130">
        <v>295</v>
      </c>
      <c r="Z9" s="130">
        <v>297</v>
      </c>
      <c r="AA9" s="130">
        <v>304</v>
      </c>
      <c r="AB9" s="130">
        <v>312</v>
      </c>
      <c r="AC9" s="130">
        <v>315</v>
      </c>
      <c r="AD9" s="130">
        <v>300</v>
      </c>
      <c r="AE9" s="130">
        <v>316</v>
      </c>
      <c r="AF9" s="130">
        <f>Dashboard!P14</f>
        <v>1</v>
      </c>
    </row>
    <row r="21" spans="6:6" ht="15" customHeight="1" x14ac:dyDescent="0.25">
      <c r="F21" s="116"/>
    </row>
  </sheetData>
  <mergeCells count="1">
    <mergeCell ref="A1:G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7E38D-7140-42C1-B15B-C68BC33E4B1B}">
  <sheetPr codeName="Hoja12"/>
  <dimension ref="A1:J30"/>
  <sheetViews>
    <sheetView workbookViewId="0">
      <selection activeCell="A2" sqref="A2"/>
    </sheetView>
  </sheetViews>
  <sheetFormatPr baseColWidth="10" defaultColWidth="8.5703125" defaultRowHeight="15" customHeight="1" x14ac:dyDescent="0.25"/>
  <cols>
    <col min="1" max="1" width="29.42578125" bestFit="1" customWidth="1"/>
    <col min="2" max="2" width="10" customWidth="1"/>
    <col min="3" max="3" width="4.42578125" bestFit="1" customWidth="1"/>
    <col min="4" max="4" width="18.42578125" bestFit="1" customWidth="1"/>
    <col min="5" max="5" width="3" customWidth="1"/>
    <col min="6" max="6" width="21" bestFit="1" customWidth="1"/>
    <col min="7" max="7" width="4" customWidth="1"/>
    <col min="8" max="8" width="26.5703125" bestFit="1" customWidth="1"/>
    <col min="9" max="9" width="4.42578125" customWidth="1"/>
    <col min="10" max="10" width="10" bestFit="1" customWidth="1"/>
  </cols>
  <sheetData>
    <row r="1" spans="1:10" ht="15" customHeight="1" x14ac:dyDescent="0.25">
      <c r="A1" t="s">
        <v>1508</v>
      </c>
      <c r="B1" t="s">
        <v>1509</v>
      </c>
      <c r="C1" s="43"/>
      <c r="D1" t="s">
        <v>1510</v>
      </c>
      <c r="E1" s="43"/>
      <c r="F1" t="s">
        <v>1511</v>
      </c>
      <c r="G1" s="43"/>
      <c r="H1" t="s">
        <v>1512</v>
      </c>
      <c r="J1" t="s">
        <v>219</v>
      </c>
    </row>
    <row r="2" spans="1:10" ht="15" customHeight="1" x14ac:dyDescent="0.25">
      <c r="A2" t="s">
        <v>213</v>
      </c>
      <c r="B2">
        <v>0</v>
      </c>
      <c r="C2" s="43"/>
      <c r="D2" t="s">
        <v>1513</v>
      </c>
      <c r="E2" s="43"/>
      <c r="F2" t="s">
        <v>1514</v>
      </c>
      <c r="G2" s="43"/>
      <c r="H2" t="s">
        <v>560</v>
      </c>
      <c r="J2" t="s">
        <v>24</v>
      </c>
    </row>
    <row r="3" spans="1:10" ht="15" customHeight="1" x14ac:dyDescent="0.25">
      <c r="A3" t="s">
        <v>212</v>
      </c>
      <c r="B3">
        <v>0</v>
      </c>
      <c r="C3" s="43"/>
      <c r="D3" t="s">
        <v>1515</v>
      </c>
      <c r="E3" s="43"/>
      <c r="F3" t="s">
        <v>1516</v>
      </c>
      <c r="G3" s="43"/>
      <c r="H3" t="s">
        <v>251</v>
      </c>
      <c r="J3" t="s">
        <v>1517</v>
      </c>
    </row>
    <row r="4" spans="1:10" ht="15" customHeight="1" x14ac:dyDescent="0.25">
      <c r="A4" t="s">
        <v>214</v>
      </c>
      <c r="B4">
        <v>0</v>
      </c>
      <c r="C4" s="43"/>
      <c r="D4" s="43"/>
      <c r="E4" s="43"/>
      <c r="F4" t="s">
        <v>1518</v>
      </c>
      <c r="G4" s="43"/>
      <c r="H4" t="s">
        <v>321</v>
      </c>
    </row>
    <row r="5" spans="1:10" ht="15" customHeight="1" x14ac:dyDescent="0.25">
      <c r="A5" t="s">
        <v>215</v>
      </c>
      <c r="B5">
        <v>0</v>
      </c>
      <c r="C5" s="43"/>
      <c r="D5" s="43"/>
      <c r="E5" s="43"/>
      <c r="F5" t="s">
        <v>1519</v>
      </c>
      <c r="G5" s="43"/>
      <c r="H5" t="s">
        <v>276</v>
      </c>
    </row>
    <row r="6" spans="1:10" ht="15" customHeight="1" x14ac:dyDescent="0.25">
      <c r="A6" t="s">
        <v>216</v>
      </c>
      <c r="B6">
        <v>0</v>
      </c>
      <c r="C6" s="43"/>
      <c r="D6" s="43"/>
      <c r="E6" s="43"/>
      <c r="F6" s="43"/>
      <c r="G6" s="43"/>
      <c r="H6" t="s">
        <v>666</v>
      </c>
    </row>
    <row r="7" spans="1:10" ht="15" customHeight="1" x14ac:dyDescent="0.25">
      <c r="A7" t="s">
        <v>217</v>
      </c>
      <c r="B7">
        <v>0</v>
      </c>
      <c r="C7" s="43"/>
      <c r="D7" s="43"/>
      <c r="E7" s="43"/>
      <c r="F7" s="43"/>
      <c r="G7" s="43"/>
      <c r="H7" t="s">
        <v>678</v>
      </c>
    </row>
    <row r="8" spans="1:10" ht="15" customHeight="1" x14ac:dyDescent="0.25">
      <c r="A8" t="s">
        <v>561</v>
      </c>
      <c r="B8">
        <v>0</v>
      </c>
      <c r="C8" s="43"/>
      <c r="D8" s="43"/>
      <c r="E8" s="43"/>
      <c r="F8" s="43"/>
      <c r="G8" s="43"/>
      <c r="H8" t="s">
        <v>591</v>
      </c>
    </row>
    <row r="9" spans="1:10" ht="15" customHeight="1" x14ac:dyDescent="0.25">
      <c r="A9" t="s">
        <v>252</v>
      </c>
      <c r="B9">
        <v>0</v>
      </c>
      <c r="C9" s="43"/>
      <c r="D9" s="43"/>
      <c r="E9" s="43"/>
      <c r="F9" s="43"/>
      <c r="G9" s="43"/>
      <c r="H9" t="s">
        <v>650</v>
      </c>
    </row>
    <row r="10" spans="1:10" ht="15" customHeight="1" x14ac:dyDescent="0.25">
      <c r="A10" t="s">
        <v>262</v>
      </c>
      <c r="B10">
        <v>0</v>
      </c>
      <c r="C10" s="43"/>
      <c r="D10" s="43"/>
      <c r="E10" s="43"/>
      <c r="F10" s="43"/>
      <c r="G10" s="43"/>
      <c r="H10" t="s">
        <v>669</v>
      </c>
    </row>
    <row r="11" spans="1:10" ht="15" customHeight="1" x14ac:dyDescent="0.25">
      <c r="A11" t="s">
        <v>219</v>
      </c>
      <c r="B11">
        <v>1</v>
      </c>
      <c r="C11" s="43"/>
      <c r="D11" s="43"/>
      <c r="E11" s="43"/>
      <c r="F11" s="43"/>
      <c r="G11" s="43"/>
      <c r="H11" t="s">
        <v>1520</v>
      </c>
    </row>
    <row r="12" spans="1:10" ht="15" customHeight="1" x14ac:dyDescent="0.25">
      <c r="A12" t="s">
        <v>220</v>
      </c>
      <c r="B12">
        <v>1</v>
      </c>
      <c r="C12" s="43"/>
      <c r="D12" s="43"/>
      <c r="E12" s="43"/>
      <c r="F12" s="43"/>
      <c r="G12" s="43"/>
      <c r="H12" t="s">
        <v>653</v>
      </c>
    </row>
    <row r="13" spans="1:10" ht="15" customHeight="1" x14ac:dyDescent="0.25">
      <c r="A13" t="s">
        <v>221</v>
      </c>
      <c r="B13">
        <v>1</v>
      </c>
    </row>
    <row r="14" spans="1:10" ht="15" customHeight="1" x14ac:dyDescent="0.25">
      <c r="A14" t="s">
        <v>1521</v>
      </c>
      <c r="B14">
        <v>0</v>
      </c>
    </row>
    <row r="15" spans="1:10" ht="15" customHeight="1" x14ac:dyDescent="0.25">
      <c r="A15" t="s">
        <v>1522</v>
      </c>
      <c r="B15">
        <v>0</v>
      </c>
    </row>
    <row r="16" spans="1:10" ht="15" customHeight="1" x14ac:dyDescent="0.25">
      <c r="A16" t="s">
        <v>1523</v>
      </c>
      <c r="B16">
        <v>0</v>
      </c>
    </row>
    <row r="17" spans="1:2" ht="15" customHeight="1" x14ac:dyDescent="0.25">
      <c r="A17" t="s">
        <v>1524</v>
      </c>
      <c r="B17">
        <v>0</v>
      </c>
    </row>
    <row r="18" spans="1:2" ht="15" customHeight="1" x14ac:dyDescent="0.25">
      <c r="A18" t="s">
        <v>1525</v>
      </c>
      <c r="B18">
        <v>0</v>
      </c>
    </row>
    <row r="19" spans="1:2" ht="15" customHeight="1" x14ac:dyDescent="0.25">
      <c r="A19" t="s">
        <v>1526</v>
      </c>
      <c r="B19">
        <v>0</v>
      </c>
    </row>
    <row r="20" spans="1:2" ht="15" customHeight="1" x14ac:dyDescent="0.25">
      <c r="A20" t="s">
        <v>1527</v>
      </c>
      <c r="B20">
        <v>0</v>
      </c>
    </row>
    <row r="21" spans="1:2" ht="15" customHeight="1" x14ac:dyDescent="0.25">
      <c r="A21" t="s">
        <v>1528</v>
      </c>
      <c r="B21">
        <v>0</v>
      </c>
    </row>
    <row r="22" spans="1:2" ht="15" customHeight="1" x14ac:dyDescent="0.25">
      <c r="A22" t="s">
        <v>1529</v>
      </c>
      <c r="B22">
        <v>0</v>
      </c>
    </row>
    <row r="23" spans="1:2" ht="15" customHeight="1" x14ac:dyDescent="0.25">
      <c r="A23" t="s">
        <v>1530</v>
      </c>
      <c r="B23">
        <v>0</v>
      </c>
    </row>
    <row r="24" spans="1:2" ht="15" customHeight="1" x14ac:dyDescent="0.25">
      <c r="A24" t="s">
        <v>1531</v>
      </c>
      <c r="B24">
        <v>1</v>
      </c>
    </row>
    <row r="25" spans="1:2" ht="15" customHeight="1" x14ac:dyDescent="0.25">
      <c r="A25" t="s">
        <v>1532</v>
      </c>
      <c r="B25">
        <v>1</v>
      </c>
    </row>
    <row r="26" spans="1:2" ht="15" customHeight="1" x14ac:dyDescent="0.25">
      <c r="A26" t="s">
        <v>1533</v>
      </c>
      <c r="B26">
        <v>1</v>
      </c>
    </row>
    <row r="27" spans="1:2" ht="15" customHeight="1" x14ac:dyDescent="0.25">
      <c r="A27" t="s">
        <v>1505</v>
      </c>
      <c r="B27">
        <v>0</v>
      </c>
    </row>
    <row r="28" spans="1:2" ht="15" customHeight="1" x14ac:dyDescent="0.25">
      <c r="A28" t="s">
        <v>1534</v>
      </c>
      <c r="B28">
        <v>0</v>
      </c>
    </row>
    <row r="29" spans="1:2" ht="15" customHeight="1" x14ac:dyDescent="0.25">
      <c r="A29" t="s">
        <v>1535</v>
      </c>
      <c r="B29">
        <v>0</v>
      </c>
    </row>
    <row r="30" spans="1:2" ht="15" customHeight="1" x14ac:dyDescent="0.25">
      <c r="A30" t="s">
        <v>1411</v>
      </c>
      <c r="B30">
        <v>1</v>
      </c>
    </row>
  </sheetData>
  <sheetProtection algorithmName="SHA-512" hashValue="1TMBUV8fsaiWuKL+rlPZGVfEpJoT0ZnGc3yzyNSj5YJ13XgtsY1sR63biWcMYxTCCiM/G7AT2idqEjPcv+0sCg==" saltValue="wyN9LctCJj9ZMc4ExZ/3ZA==" spinCount="100000" sheet="1" formatCells="0" formatColumns="0" formatRows="0" insertColumns="0" insertRows="0" insertHyperlinks="0" deleteColumns="0" deleteRows="0" sort="0" autoFilter="0" pivotTables="0"/>
  <hyperlinks>
    <hyperlink ref="D2" r:id="rId1" xr:uid="{2CBA6608-2AAD-435C-BB2C-69C4EC0DD2D7}"/>
    <hyperlink ref="F2" r:id="rId2" xr:uid="{013C775D-6D33-4728-A4B5-FF524634EA5B}"/>
    <hyperlink ref="D3" r:id="rId3" xr:uid="{86A0616F-D3F0-48AC-B955-6F5FE916A35E}"/>
    <hyperlink ref="F3" r:id="rId4" xr:uid="{93F8107C-B623-4366-B057-A253001C0A5E}"/>
    <hyperlink ref="F4" r:id="rId5" xr:uid="{836D6AB6-E5C6-49AF-9C30-BC8C7646A506}"/>
    <hyperlink ref="F5" r:id="rId6" xr:uid="{A2895241-5F40-4B10-BDC2-61392ED65F28}"/>
  </hyperlinks>
  <pageMargins left="0.7" right="0.7" top="0.75" bottom="0.75" header="0.3" footer="0.3"/>
  <tableParts count="5">
    <tablePart r:id="rId7"/>
    <tablePart r:id="rId8"/>
    <tablePart r:id="rId9"/>
    <tablePart r:id="rId10"/>
    <tablePart r:id="rId1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L3"/>
  <sheetViews>
    <sheetView topLeftCell="D1" workbookViewId="0">
      <selection activeCell="M17" sqref="M17"/>
    </sheetView>
  </sheetViews>
  <sheetFormatPr baseColWidth="10" defaultColWidth="11.42578125" defaultRowHeight="15" x14ac:dyDescent="0.25"/>
  <cols>
    <col min="1" max="1" width="55.5703125" bestFit="1" customWidth="1"/>
    <col min="2" max="2" width="19.42578125" customWidth="1"/>
    <col min="3" max="3" width="15.5703125" bestFit="1" customWidth="1"/>
    <col min="4" max="4" width="21.5703125" bestFit="1" customWidth="1"/>
    <col min="5" max="5" width="22.5703125" bestFit="1" customWidth="1"/>
    <col min="6" max="6" width="6.42578125" bestFit="1" customWidth="1"/>
    <col min="7" max="7" width="34.42578125" bestFit="1" customWidth="1"/>
    <col min="8" max="8" width="23.5703125" bestFit="1" customWidth="1"/>
    <col min="9" max="9" width="16.5703125" bestFit="1" customWidth="1"/>
    <col min="11" max="11" width="15" bestFit="1" customWidth="1"/>
    <col min="12" max="12" width="17.42578125" customWidth="1"/>
  </cols>
  <sheetData>
    <row r="1" spans="1:12" x14ac:dyDescent="0.25">
      <c r="A1" s="43" t="s">
        <v>1536</v>
      </c>
      <c r="B1" s="43" t="s">
        <v>1537</v>
      </c>
      <c r="C1" s="43" t="s">
        <v>1538</v>
      </c>
      <c r="D1" s="43" t="s">
        <v>1539</v>
      </c>
      <c r="E1" s="43" t="s">
        <v>1540</v>
      </c>
      <c r="F1" s="43" t="s">
        <v>1541</v>
      </c>
      <c r="G1" s="43" t="s">
        <v>1542</v>
      </c>
      <c r="H1" s="43" t="s">
        <v>1543</v>
      </c>
      <c r="I1" s="43" t="s">
        <v>17</v>
      </c>
      <c r="J1" s="43" t="s">
        <v>1544</v>
      </c>
      <c r="K1" s="43" t="s">
        <v>1545</v>
      </c>
      <c r="L1" s="43" t="s">
        <v>1546</v>
      </c>
    </row>
    <row r="2" spans="1:12" x14ac:dyDescent="0.25">
      <c r="A2" s="43" t="s">
        <v>1547</v>
      </c>
      <c r="B2" s="43" t="s">
        <v>1548</v>
      </c>
      <c r="C2" s="44">
        <v>45566</v>
      </c>
      <c r="D2" s="44">
        <v>45413</v>
      </c>
      <c r="E2" s="45">
        <v>132000</v>
      </c>
      <c r="F2" s="43" t="s">
        <v>1549</v>
      </c>
      <c r="G2" s="43" t="s">
        <v>1550</v>
      </c>
      <c r="H2" s="43" t="s">
        <v>1551</v>
      </c>
      <c r="I2" s="43" t="s">
        <v>1552</v>
      </c>
      <c r="J2" s="43">
        <v>6000</v>
      </c>
      <c r="K2" s="43" t="s">
        <v>1553</v>
      </c>
      <c r="L2" s="43" t="s">
        <v>1554</v>
      </c>
    </row>
    <row r="3" spans="1:12" x14ac:dyDescent="0.25">
      <c r="A3" s="43" t="s">
        <v>1555</v>
      </c>
      <c r="B3" s="43" t="s">
        <v>1556</v>
      </c>
      <c r="C3" s="44">
        <v>45566</v>
      </c>
      <c r="D3" s="44">
        <v>45413</v>
      </c>
      <c r="E3" s="45">
        <v>165000</v>
      </c>
      <c r="F3" s="43" t="s">
        <v>1549</v>
      </c>
      <c r="G3" s="43" t="s">
        <v>1550</v>
      </c>
      <c r="H3" s="43" t="s">
        <v>1551</v>
      </c>
      <c r="I3" s="43" t="s">
        <v>1552</v>
      </c>
      <c r="J3" s="43">
        <v>6000</v>
      </c>
      <c r="K3" s="43" t="s">
        <v>1557</v>
      </c>
      <c r="L3" s="43" t="s">
        <v>1558</v>
      </c>
    </row>
  </sheetData>
  <autoFilter ref="A1:L3" xr:uid="{00000000-0001-0000-0600-000000000000}"/>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2D44C-13CC-4084-987C-932697F5A7B9}">
  <sheetPr codeName="Hoja20"/>
  <dimension ref="A1:T15"/>
  <sheetViews>
    <sheetView topLeftCell="D1" zoomScaleNormal="100" workbookViewId="0">
      <selection activeCell="P14" sqref="P14:T14"/>
    </sheetView>
  </sheetViews>
  <sheetFormatPr baseColWidth="10" defaultColWidth="11.42578125" defaultRowHeight="15" x14ac:dyDescent="0.25"/>
  <cols>
    <col min="1" max="19" width="14.5703125" style="68" customWidth="1"/>
    <col min="20" max="20" width="14.5703125" style="4" customWidth="1"/>
  </cols>
  <sheetData>
    <row r="1" spans="1:20" x14ac:dyDescent="0.25">
      <c r="A1" s="667" t="s">
        <v>1504</v>
      </c>
      <c r="B1" s="667"/>
      <c r="C1" s="667"/>
      <c r="D1" s="667"/>
      <c r="E1" s="667"/>
      <c r="F1" s="667"/>
      <c r="G1" s="667"/>
      <c r="H1" s="667"/>
      <c r="I1" s="667"/>
      <c r="J1" s="667"/>
      <c r="K1" s="667"/>
      <c r="L1" s="667"/>
      <c r="M1" s="667"/>
      <c r="N1" s="667"/>
      <c r="O1" s="667"/>
      <c r="P1" s="667"/>
      <c r="Q1" s="667"/>
      <c r="R1" s="667"/>
      <c r="S1" s="667"/>
      <c r="T1" s="667"/>
    </row>
    <row r="2" spans="1:20" x14ac:dyDescent="0.25">
      <c r="A2" s="5"/>
      <c r="B2" s="68">
        <v>45614</v>
      </c>
      <c r="C2" s="68">
        <v>45616</v>
      </c>
      <c r="D2" s="68">
        <v>45617</v>
      </c>
      <c r="E2" s="68">
        <v>45618</v>
      </c>
      <c r="F2" s="68">
        <v>45621</v>
      </c>
      <c r="G2" s="68">
        <v>45622</v>
      </c>
      <c r="H2" s="68">
        <v>45623</v>
      </c>
      <c r="I2" s="68">
        <v>45624</v>
      </c>
      <c r="J2" s="68">
        <v>45625</v>
      </c>
      <c r="K2" s="68">
        <v>45628</v>
      </c>
      <c r="L2" s="68">
        <v>45629</v>
      </c>
      <c r="M2" s="68">
        <v>45630</v>
      </c>
      <c r="N2" s="68">
        <v>45631</v>
      </c>
      <c r="O2" s="68">
        <v>45635</v>
      </c>
      <c r="P2" s="68">
        <v>45636</v>
      </c>
      <c r="Q2" s="68">
        <v>45639</v>
      </c>
      <c r="R2" s="68">
        <v>45666</v>
      </c>
      <c r="S2" s="68">
        <v>45680</v>
      </c>
      <c r="T2" s="89">
        <f ca="1">TODAY()</f>
        <v>46138</v>
      </c>
    </row>
    <row r="3" spans="1:20" x14ac:dyDescent="0.25">
      <c r="A3" s="5" t="s">
        <v>213</v>
      </c>
      <c r="B3" s="115">
        <v>78</v>
      </c>
      <c r="C3" s="115">
        <v>32</v>
      </c>
      <c r="D3" s="115">
        <v>27</v>
      </c>
      <c r="E3" s="115">
        <v>27</v>
      </c>
      <c r="F3" s="115">
        <v>27</v>
      </c>
      <c r="G3" s="115">
        <v>7</v>
      </c>
      <c r="H3" s="115">
        <v>7</v>
      </c>
      <c r="I3" s="115">
        <v>7</v>
      </c>
      <c r="J3" s="115">
        <v>7</v>
      </c>
      <c r="K3" s="115">
        <v>7</v>
      </c>
      <c r="L3" s="115">
        <v>6</v>
      </c>
      <c r="M3" s="115">
        <v>28</v>
      </c>
      <c r="N3" s="115">
        <v>21</v>
      </c>
      <c r="O3" s="115">
        <v>21</v>
      </c>
      <c r="P3" s="115">
        <v>4</v>
      </c>
      <c r="Q3" s="115">
        <v>4</v>
      </c>
      <c r="R3" s="115">
        <v>0</v>
      </c>
      <c r="S3" s="115">
        <v>3</v>
      </c>
      <c r="T3" t="e">
        <f>#REF!</f>
        <v>#REF!</v>
      </c>
    </row>
    <row r="4" spans="1:20" x14ac:dyDescent="0.25">
      <c r="A4" s="5" t="s">
        <v>222</v>
      </c>
      <c r="B4" s="115">
        <v>50</v>
      </c>
      <c r="C4" s="115">
        <v>61</v>
      </c>
      <c r="D4" s="115">
        <v>65</v>
      </c>
      <c r="E4" s="115">
        <v>58</v>
      </c>
      <c r="F4" s="115">
        <v>52</v>
      </c>
      <c r="G4" s="115">
        <v>38</v>
      </c>
      <c r="H4" s="115">
        <v>37</v>
      </c>
      <c r="I4" s="115">
        <v>31</v>
      </c>
      <c r="J4" s="115">
        <v>31</v>
      </c>
      <c r="K4" s="115">
        <v>30</v>
      </c>
      <c r="L4" s="115">
        <v>29</v>
      </c>
      <c r="M4" s="115">
        <v>28</v>
      </c>
      <c r="N4" s="115">
        <v>10</v>
      </c>
      <c r="O4" s="115">
        <v>10</v>
      </c>
      <c r="P4" s="115">
        <v>10</v>
      </c>
      <c r="Q4" s="115">
        <v>9</v>
      </c>
      <c r="R4" s="115">
        <v>12</v>
      </c>
      <c r="S4" s="115">
        <v>5</v>
      </c>
      <c r="T4" t="e">
        <f>#REF!</f>
        <v>#REF!</v>
      </c>
    </row>
    <row r="5" spans="1:20" x14ac:dyDescent="0.25">
      <c r="A5" s="5" t="s">
        <v>1559</v>
      </c>
      <c r="B5" s="115">
        <v>41</v>
      </c>
      <c r="C5" s="115">
        <v>45</v>
      </c>
      <c r="D5" s="115">
        <v>41</v>
      </c>
      <c r="E5" s="115">
        <v>39</v>
      </c>
      <c r="F5" s="115">
        <v>0</v>
      </c>
      <c r="G5" s="115">
        <v>24</v>
      </c>
      <c r="H5" s="115">
        <v>25</v>
      </c>
      <c r="I5" s="115">
        <v>8</v>
      </c>
      <c r="J5" s="115">
        <v>8</v>
      </c>
      <c r="K5" s="115">
        <v>6</v>
      </c>
      <c r="L5" s="115">
        <v>8</v>
      </c>
      <c r="M5" s="115">
        <v>9</v>
      </c>
      <c r="N5" s="115">
        <v>2</v>
      </c>
      <c r="O5" s="115">
        <v>2</v>
      </c>
      <c r="P5" s="115">
        <v>2</v>
      </c>
      <c r="Q5" s="115">
        <v>12</v>
      </c>
      <c r="R5" s="115">
        <v>0</v>
      </c>
      <c r="S5" s="115">
        <v>3</v>
      </c>
      <c r="T5" t="e">
        <f>#REF!</f>
        <v>#REF!</v>
      </c>
    </row>
    <row r="6" spans="1:20" x14ac:dyDescent="0.25">
      <c r="A6" s="5" t="s">
        <v>224</v>
      </c>
      <c r="B6" s="115">
        <v>0</v>
      </c>
      <c r="C6" s="115">
        <v>18</v>
      </c>
      <c r="D6" s="115">
        <v>1</v>
      </c>
      <c r="E6" s="115">
        <v>0</v>
      </c>
      <c r="F6" s="115">
        <v>0</v>
      </c>
      <c r="G6" s="115">
        <v>0</v>
      </c>
      <c r="H6" s="115">
        <v>0</v>
      </c>
      <c r="I6" s="115">
        <v>19</v>
      </c>
      <c r="J6" s="115">
        <v>19</v>
      </c>
      <c r="K6" s="115">
        <v>22</v>
      </c>
      <c r="L6" s="115">
        <v>22</v>
      </c>
      <c r="M6" s="115">
        <v>0</v>
      </c>
      <c r="N6" s="115">
        <v>0</v>
      </c>
      <c r="O6" s="115">
        <v>0</v>
      </c>
      <c r="P6" s="115">
        <v>17</v>
      </c>
      <c r="Q6" s="115">
        <v>0</v>
      </c>
      <c r="R6" s="115">
        <v>0</v>
      </c>
      <c r="S6" s="115">
        <v>0</v>
      </c>
      <c r="T6" t="e">
        <f>#REF!</f>
        <v>#REF!</v>
      </c>
    </row>
    <row r="7" spans="1:20" ht="45" x14ac:dyDescent="0.25">
      <c r="A7" s="5" t="s">
        <v>216</v>
      </c>
      <c r="B7" s="115">
        <v>89</v>
      </c>
      <c r="C7" s="115">
        <v>36</v>
      </c>
      <c r="D7" s="115">
        <v>18</v>
      </c>
      <c r="E7" s="115">
        <v>5</v>
      </c>
      <c r="F7" s="115">
        <v>6</v>
      </c>
      <c r="G7" s="115">
        <v>10</v>
      </c>
      <c r="H7" s="115">
        <v>10</v>
      </c>
      <c r="I7" s="115">
        <v>11</v>
      </c>
      <c r="J7" s="115">
        <v>13</v>
      </c>
      <c r="K7" s="115">
        <v>13</v>
      </c>
      <c r="L7" s="115">
        <v>10</v>
      </c>
      <c r="M7" s="115">
        <v>10</v>
      </c>
      <c r="N7" s="115">
        <v>9</v>
      </c>
      <c r="O7" s="115">
        <v>8</v>
      </c>
      <c r="P7" s="115">
        <v>5</v>
      </c>
      <c r="Q7" s="115">
        <v>21</v>
      </c>
      <c r="R7" s="115">
        <v>23</v>
      </c>
      <c r="S7" s="115">
        <v>4</v>
      </c>
      <c r="T7" s="4" t="e">
        <f>#REF!</f>
        <v>#REF!</v>
      </c>
    </row>
    <row r="8" spans="1:20" ht="30" x14ac:dyDescent="0.25">
      <c r="A8" s="5" t="s">
        <v>215</v>
      </c>
      <c r="B8" s="115">
        <v>9</v>
      </c>
      <c r="C8" s="115">
        <v>11</v>
      </c>
      <c r="D8" s="115">
        <v>16</v>
      </c>
      <c r="E8" s="115">
        <v>37</v>
      </c>
      <c r="F8" s="115">
        <v>36</v>
      </c>
      <c r="G8" s="115">
        <v>65</v>
      </c>
      <c r="H8" s="115">
        <v>69</v>
      </c>
      <c r="I8" s="115">
        <v>54</v>
      </c>
      <c r="J8" s="115">
        <v>36</v>
      </c>
      <c r="K8" s="115">
        <v>36</v>
      </c>
      <c r="L8" s="115">
        <v>29</v>
      </c>
      <c r="M8" s="115">
        <v>26</v>
      </c>
      <c r="N8" s="115">
        <v>12</v>
      </c>
      <c r="O8" s="115">
        <v>13</v>
      </c>
      <c r="P8" s="115">
        <v>14</v>
      </c>
      <c r="Q8" s="115">
        <v>21</v>
      </c>
      <c r="R8" s="115">
        <v>23</v>
      </c>
      <c r="S8" s="115">
        <v>4</v>
      </c>
      <c r="T8" s="4" t="e">
        <f>#REF!</f>
        <v>#REF!</v>
      </c>
    </row>
    <row r="9" spans="1:20" x14ac:dyDescent="0.25">
      <c r="A9" s="5" t="s">
        <v>217</v>
      </c>
      <c r="B9" s="115">
        <v>19</v>
      </c>
      <c r="C9" s="115">
        <v>15</v>
      </c>
      <c r="D9" s="115">
        <v>17</v>
      </c>
      <c r="E9" s="115">
        <v>11</v>
      </c>
      <c r="F9" s="115">
        <v>10</v>
      </c>
      <c r="G9" s="115">
        <v>20.999999999999996</v>
      </c>
      <c r="H9" s="115">
        <v>14.999999999999996</v>
      </c>
      <c r="I9" s="115">
        <v>26</v>
      </c>
      <c r="J9" s="115">
        <v>42</v>
      </c>
      <c r="K9" s="115">
        <v>42</v>
      </c>
      <c r="L9" s="115">
        <v>38</v>
      </c>
      <c r="M9" s="115">
        <v>18</v>
      </c>
      <c r="N9" s="115">
        <v>14</v>
      </c>
      <c r="O9" s="115">
        <v>14</v>
      </c>
      <c r="P9" s="115">
        <v>5</v>
      </c>
      <c r="Q9" s="115">
        <v>16</v>
      </c>
      <c r="R9" s="115">
        <v>15</v>
      </c>
      <c r="S9" s="115">
        <v>27</v>
      </c>
      <c r="T9" t="e">
        <f>#REF!</f>
        <v>#REF!</v>
      </c>
    </row>
    <row r="10" spans="1:20" ht="30" x14ac:dyDescent="0.25">
      <c r="A10" s="5" t="s">
        <v>1560</v>
      </c>
      <c r="B10" s="115">
        <v>6</v>
      </c>
      <c r="C10" s="115">
        <v>6</v>
      </c>
      <c r="D10" s="115">
        <v>7</v>
      </c>
      <c r="E10" s="115">
        <v>10</v>
      </c>
      <c r="F10" s="115">
        <v>10</v>
      </c>
      <c r="G10" s="115">
        <v>8</v>
      </c>
      <c r="H10" s="115">
        <v>9</v>
      </c>
      <c r="I10" s="115">
        <v>8</v>
      </c>
      <c r="J10" s="115">
        <v>8</v>
      </c>
      <c r="K10" s="115">
        <v>8</v>
      </c>
      <c r="L10" s="115">
        <v>8</v>
      </c>
      <c r="M10" s="115">
        <v>9</v>
      </c>
      <c r="N10" s="115">
        <v>5</v>
      </c>
      <c r="O10" s="115">
        <v>5</v>
      </c>
      <c r="P10" s="115">
        <v>6</v>
      </c>
      <c r="Q10" s="115">
        <v>11</v>
      </c>
      <c r="R10" s="115">
        <v>9</v>
      </c>
      <c r="S10" s="115">
        <v>7</v>
      </c>
      <c r="T10" t="e">
        <f>#REF!</f>
        <v>#REF!</v>
      </c>
    </row>
    <row r="11" spans="1:20" x14ac:dyDescent="0.25">
      <c r="A11" s="5" t="s">
        <v>1561</v>
      </c>
      <c r="B11" s="115">
        <v>0</v>
      </c>
      <c r="C11" s="115">
        <v>1</v>
      </c>
      <c r="D11" s="115">
        <v>1</v>
      </c>
      <c r="E11" s="115">
        <v>0</v>
      </c>
      <c r="F11" s="115">
        <v>0</v>
      </c>
      <c r="G11" s="115">
        <v>2</v>
      </c>
      <c r="H11" s="115">
        <v>4</v>
      </c>
      <c r="I11" s="115">
        <v>4</v>
      </c>
      <c r="J11" s="115">
        <v>4</v>
      </c>
      <c r="K11" s="115">
        <v>4</v>
      </c>
      <c r="L11" s="115">
        <v>10</v>
      </c>
      <c r="M11" s="115">
        <v>30</v>
      </c>
      <c r="N11" s="115">
        <v>33</v>
      </c>
      <c r="O11" s="115">
        <v>33</v>
      </c>
      <c r="P11" s="115">
        <v>31</v>
      </c>
      <c r="Q11" s="115">
        <v>17</v>
      </c>
      <c r="R11" s="115">
        <v>18</v>
      </c>
      <c r="S11" s="115">
        <v>13</v>
      </c>
      <c r="T11" t="e">
        <f>#REF!</f>
        <v>#REF!</v>
      </c>
    </row>
    <row r="12" spans="1:20" ht="30" x14ac:dyDescent="0.25">
      <c r="A12" s="5" t="s">
        <v>1562</v>
      </c>
      <c r="B12" s="115">
        <v>0</v>
      </c>
      <c r="C12" s="115">
        <v>0</v>
      </c>
      <c r="D12" s="115">
        <v>0</v>
      </c>
      <c r="E12" s="115">
        <v>0</v>
      </c>
      <c r="F12" s="115">
        <v>0</v>
      </c>
      <c r="G12" s="115">
        <v>0</v>
      </c>
      <c r="H12" s="115">
        <v>0</v>
      </c>
      <c r="I12" s="115">
        <v>0</v>
      </c>
      <c r="J12" s="115">
        <v>0</v>
      </c>
      <c r="K12" s="115">
        <v>0</v>
      </c>
      <c r="L12" s="115">
        <v>1</v>
      </c>
      <c r="M12" s="115">
        <v>1</v>
      </c>
      <c r="N12" s="115">
        <v>1</v>
      </c>
      <c r="O12" s="115">
        <v>1</v>
      </c>
      <c r="P12" s="115">
        <v>1</v>
      </c>
      <c r="Q12" s="115">
        <v>1</v>
      </c>
      <c r="R12" s="115">
        <v>0</v>
      </c>
      <c r="S12" s="115">
        <v>4</v>
      </c>
      <c r="T12" s="4" t="e">
        <f>#REF!</f>
        <v>#REF!</v>
      </c>
    </row>
    <row r="13" spans="1:20" x14ac:dyDescent="0.25">
      <c r="A13" s="5" t="s">
        <v>219</v>
      </c>
      <c r="B13" s="115">
        <v>13</v>
      </c>
      <c r="C13" s="115">
        <v>18</v>
      </c>
      <c r="D13" s="115">
        <v>19</v>
      </c>
      <c r="E13" s="115">
        <v>24</v>
      </c>
      <c r="F13" s="115">
        <v>23</v>
      </c>
      <c r="G13" s="115">
        <v>23</v>
      </c>
      <c r="H13" s="115">
        <v>23</v>
      </c>
      <c r="I13" s="115">
        <v>25</v>
      </c>
      <c r="J13" s="115">
        <v>19</v>
      </c>
      <c r="K13" s="115">
        <v>19</v>
      </c>
      <c r="L13" s="115">
        <v>22</v>
      </c>
      <c r="M13" s="115">
        <v>20</v>
      </c>
      <c r="N13" s="115">
        <v>17</v>
      </c>
      <c r="O13" s="115">
        <v>17</v>
      </c>
      <c r="P13" s="115">
        <v>25</v>
      </c>
      <c r="Q13" s="115">
        <v>35</v>
      </c>
      <c r="R13" s="115">
        <v>38</v>
      </c>
      <c r="S13" s="115">
        <v>20</v>
      </c>
      <c r="T13" t="e">
        <f>#REF!</f>
        <v>#REF!</v>
      </c>
    </row>
    <row r="14" spans="1:20" x14ac:dyDescent="0.25">
      <c r="A14" s="5" t="s">
        <v>221</v>
      </c>
      <c r="B14" s="115">
        <v>16</v>
      </c>
      <c r="C14" s="115">
        <v>15</v>
      </c>
      <c r="D14" s="115">
        <v>15</v>
      </c>
      <c r="E14" s="115">
        <v>15</v>
      </c>
      <c r="F14" s="115">
        <v>16</v>
      </c>
      <c r="G14" s="115">
        <v>16</v>
      </c>
      <c r="H14" s="115">
        <v>17</v>
      </c>
      <c r="I14" s="115">
        <v>23</v>
      </c>
      <c r="J14" s="115">
        <v>29</v>
      </c>
      <c r="K14" s="115">
        <v>29</v>
      </c>
      <c r="L14" s="115">
        <v>34</v>
      </c>
      <c r="M14" s="115">
        <v>38</v>
      </c>
      <c r="N14" s="115">
        <v>29</v>
      </c>
      <c r="O14" s="115">
        <v>29</v>
      </c>
      <c r="P14" s="115">
        <v>33</v>
      </c>
      <c r="Q14" s="115">
        <v>65</v>
      </c>
      <c r="R14" s="115">
        <v>75</v>
      </c>
      <c r="S14" s="115">
        <v>119</v>
      </c>
      <c r="T14" t="e">
        <f>#REF!</f>
        <v>#REF!</v>
      </c>
    </row>
    <row r="15" spans="1:20" x14ac:dyDescent="0.25">
      <c r="A15" s="86" t="s">
        <v>211</v>
      </c>
      <c r="B15" s="87">
        <f>SUM(B3:B14)</f>
        <v>321</v>
      </c>
      <c r="C15" s="87">
        <v>258</v>
      </c>
      <c r="D15" s="87">
        <v>227</v>
      </c>
      <c r="E15" s="87">
        <v>226</v>
      </c>
      <c r="F15" s="87">
        <v>180</v>
      </c>
      <c r="G15" s="87">
        <v>214</v>
      </c>
      <c r="H15" s="87">
        <v>216</v>
      </c>
      <c r="I15" s="87">
        <v>216</v>
      </c>
      <c r="J15" s="87">
        <v>216</v>
      </c>
      <c r="K15" s="87">
        <v>216</v>
      </c>
      <c r="L15" s="87">
        <v>217</v>
      </c>
      <c r="M15" s="87">
        <v>217</v>
      </c>
      <c r="N15" s="87">
        <v>153</v>
      </c>
      <c r="O15" s="87">
        <v>153</v>
      </c>
      <c r="P15" s="87">
        <v>153</v>
      </c>
      <c r="Q15" s="87">
        <v>212</v>
      </c>
      <c r="R15" s="87">
        <v>213</v>
      </c>
      <c r="S15" s="87">
        <v>209</v>
      </c>
      <c r="T15" s="87" t="e">
        <f>SUM(T3:T14)</f>
        <v>#REF!</v>
      </c>
    </row>
  </sheetData>
  <mergeCells count="1">
    <mergeCell ref="A1:T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36AD3-37C7-4B81-98A8-64187B82D054}">
  <sheetPr codeName="Hoja21">
    <tabColor theme="4" tint="0.39997558519241921"/>
  </sheetPr>
  <dimension ref="B1:R41"/>
  <sheetViews>
    <sheetView topLeftCell="A4" zoomScale="70" zoomScaleNormal="70" workbookViewId="0">
      <selection activeCell="K46" sqref="K46"/>
    </sheetView>
  </sheetViews>
  <sheetFormatPr baseColWidth="10" defaultColWidth="9.42578125" defaultRowHeight="15" x14ac:dyDescent="0.25"/>
  <cols>
    <col min="1" max="2" width="2.42578125" customWidth="1"/>
    <col min="3" max="3" width="2.5703125" customWidth="1"/>
    <col min="4" max="4" width="17.42578125" customWidth="1"/>
    <col min="5" max="5" width="14" bestFit="1" customWidth="1"/>
    <col min="6" max="6" width="6.42578125" bestFit="1" customWidth="1"/>
    <col min="7" max="7" width="15.5703125" customWidth="1"/>
    <col min="8" max="9" width="17.42578125" bestFit="1" customWidth="1"/>
    <col min="10" max="10" width="22.42578125" bestFit="1" customWidth="1"/>
    <col min="11" max="12" width="23.42578125" bestFit="1" customWidth="1"/>
    <col min="13" max="13" width="10.42578125" bestFit="1" customWidth="1"/>
    <col min="14" max="14" width="15" bestFit="1" customWidth="1"/>
    <col min="15" max="15" width="10.5703125" bestFit="1" customWidth="1"/>
    <col min="16" max="16" width="20.42578125" bestFit="1" customWidth="1"/>
    <col min="17" max="17" width="14.42578125" bestFit="1" customWidth="1"/>
    <col min="18" max="18" width="6.5703125" customWidth="1"/>
  </cols>
  <sheetData>
    <row r="1" spans="2:18" ht="15.75" thickBot="1" x14ac:dyDescent="0.3"/>
    <row r="2" spans="2:18" ht="9.75" customHeight="1" x14ac:dyDescent="0.25">
      <c r="B2" s="386"/>
      <c r="C2" s="387"/>
      <c r="D2" s="387"/>
      <c r="E2" s="387"/>
      <c r="F2" s="387"/>
      <c r="G2" s="387"/>
      <c r="H2" s="387"/>
      <c r="I2" s="387"/>
      <c r="J2" s="387"/>
      <c r="K2" s="387"/>
      <c r="L2" s="387"/>
      <c r="M2" s="387"/>
      <c r="N2" s="387"/>
      <c r="O2" s="387"/>
      <c r="P2" s="387"/>
      <c r="Q2" s="387"/>
      <c r="R2" s="388"/>
    </row>
    <row r="3" spans="2:18" ht="9.75" customHeight="1" thickBot="1" x14ac:dyDescent="0.3">
      <c r="B3" s="389"/>
      <c r="C3" s="365"/>
      <c r="D3" s="365"/>
      <c r="E3" s="365"/>
      <c r="F3" s="365"/>
      <c r="G3" s="365"/>
      <c r="H3" s="365"/>
      <c r="I3" s="365"/>
      <c r="J3" s="365"/>
      <c r="K3" s="365"/>
      <c r="L3" s="365"/>
      <c r="M3" s="365"/>
      <c r="N3" s="365"/>
      <c r="O3" s="365"/>
      <c r="P3" s="365"/>
      <c r="Q3" s="365"/>
      <c r="R3" s="390"/>
    </row>
    <row r="4" spans="2:18" ht="21" x14ac:dyDescent="0.25">
      <c r="B4" s="389"/>
      <c r="C4" s="365"/>
      <c r="D4" s="365"/>
      <c r="E4" s="365"/>
      <c r="F4" s="365"/>
      <c r="G4" s="365"/>
      <c r="H4" s="366" t="s">
        <v>1563</v>
      </c>
      <c r="I4" s="367" t="s">
        <v>236</v>
      </c>
      <c r="J4" s="367" t="s">
        <v>1564</v>
      </c>
      <c r="K4" s="368" t="s">
        <v>1565</v>
      </c>
      <c r="L4" s="365"/>
      <c r="M4" s="365"/>
      <c r="N4" s="365"/>
      <c r="O4" s="365"/>
      <c r="P4" s="365"/>
      <c r="Q4" s="365"/>
      <c r="R4" s="390"/>
    </row>
    <row r="5" spans="2:18" ht="30" customHeight="1" thickBot="1" x14ac:dyDescent="0.3">
      <c r="B5" s="389"/>
      <c r="C5" s="365"/>
      <c r="D5" s="365"/>
      <c r="E5" s="365"/>
      <c r="F5" s="365"/>
      <c r="G5" s="365"/>
      <c r="H5" s="384" t="s">
        <v>1566</v>
      </c>
      <c r="I5" s="378">
        <v>1</v>
      </c>
      <c r="J5" s="391">
        <v>45536</v>
      </c>
      <c r="K5" s="378" t="s">
        <v>622</v>
      </c>
      <c r="L5" s="365"/>
      <c r="M5" s="365"/>
      <c r="N5" s="365"/>
      <c r="O5" s="365"/>
      <c r="P5" s="365"/>
      <c r="Q5" s="365"/>
      <c r="R5" s="390"/>
    </row>
    <row r="6" spans="2:18" ht="9.75" customHeight="1" x14ac:dyDescent="0.25">
      <c r="B6" s="389"/>
      <c r="C6" s="365"/>
      <c r="D6" s="365"/>
      <c r="E6" s="365"/>
      <c r="F6" s="365"/>
      <c r="G6" s="365"/>
      <c r="H6" s="365"/>
      <c r="I6" s="365"/>
      <c r="J6" s="365"/>
      <c r="K6" s="365"/>
      <c r="L6" s="365"/>
      <c r="M6" s="365"/>
      <c r="N6" s="365"/>
      <c r="O6" s="365"/>
      <c r="P6" s="365"/>
      <c r="Q6" s="365"/>
      <c r="R6" s="390"/>
    </row>
    <row r="7" spans="2:18" ht="9.75" customHeight="1" x14ac:dyDescent="0.25">
      <c r="B7" s="389"/>
      <c r="C7" s="365"/>
      <c r="D7" s="365"/>
      <c r="E7" s="365"/>
      <c r="F7" s="365"/>
      <c r="G7" s="365"/>
      <c r="H7" s="365"/>
      <c r="I7" s="365"/>
      <c r="J7" s="365"/>
      <c r="K7" s="365"/>
      <c r="L7" s="365"/>
      <c r="M7" s="365"/>
      <c r="N7" s="365"/>
      <c r="O7" s="365"/>
      <c r="P7" s="365"/>
      <c r="Q7" s="365"/>
      <c r="R7" s="390"/>
    </row>
    <row r="8" spans="2:18" ht="9.75" customHeight="1" x14ac:dyDescent="0.25">
      <c r="B8" s="389"/>
      <c r="C8" s="365"/>
      <c r="D8" s="365"/>
      <c r="E8" s="365"/>
      <c r="F8" s="365"/>
      <c r="G8" s="365"/>
      <c r="H8" s="365"/>
      <c r="I8" s="365"/>
      <c r="J8" s="365"/>
      <c r="K8" s="365"/>
      <c r="L8" s="365"/>
      <c r="M8" s="365"/>
      <c r="N8" s="365"/>
      <c r="O8" s="365"/>
      <c r="P8" s="365"/>
      <c r="Q8" s="365"/>
      <c r="R8" s="390"/>
    </row>
    <row r="9" spans="2:18" ht="9.75" customHeight="1" x14ac:dyDescent="0.25">
      <c r="B9" s="80"/>
      <c r="C9" s="81"/>
      <c r="D9" s="81"/>
      <c r="E9" s="81"/>
      <c r="F9" s="81"/>
      <c r="G9" s="81"/>
      <c r="H9" s="81"/>
      <c r="I9" s="81"/>
      <c r="J9" s="81"/>
      <c r="K9" s="81"/>
      <c r="L9" s="81"/>
      <c r="M9" s="81"/>
      <c r="N9" s="81"/>
      <c r="O9" s="81"/>
      <c r="P9" s="81"/>
      <c r="Q9" s="81"/>
      <c r="R9" s="82"/>
    </row>
    <row r="10" spans="2:18" ht="21" x14ac:dyDescent="0.25">
      <c r="B10" s="80"/>
      <c r="C10" s="81"/>
      <c r="D10" s="81"/>
      <c r="E10" s="658" t="s">
        <v>213</v>
      </c>
      <c r="F10" s="671" t="s">
        <v>212</v>
      </c>
      <c r="G10" s="672"/>
      <c r="H10" s="673"/>
      <c r="I10" s="656" t="s">
        <v>1567</v>
      </c>
      <c r="J10" s="660" t="s">
        <v>1568</v>
      </c>
      <c r="K10" s="656" t="s">
        <v>217</v>
      </c>
      <c r="L10" s="662" t="s">
        <v>218</v>
      </c>
      <c r="M10" s="662"/>
      <c r="N10" s="662"/>
      <c r="O10" s="660" t="s">
        <v>219</v>
      </c>
      <c r="P10" s="656" t="s">
        <v>221</v>
      </c>
      <c r="Q10" s="660" t="s">
        <v>1569</v>
      </c>
      <c r="R10" s="82"/>
    </row>
    <row r="11" spans="2:18" ht="42" x14ac:dyDescent="0.25">
      <c r="B11" s="80"/>
      <c r="C11" s="81"/>
      <c r="D11" s="81"/>
      <c r="E11" s="658"/>
      <c r="F11" s="71" t="s">
        <v>222</v>
      </c>
      <c r="G11" s="71" t="s">
        <v>223</v>
      </c>
      <c r="H11" s="364" t="s">
        <v>1570</v>
      </c>
      <c r="I11" s="668"/>
      <c r="J11" s="661"/>
      <c r="K11" s="656"/>
      <c r="L11" s="372" t="s">
        <v>225</v>
      </c>
      <c r="M11" s="49" t="s">
        <v>226</v>
      </c>
      <c r="N11" s="49" t="s">
        <v>227</v>
      </c>
      <c r="O11" s="660"/>
      <c r="P11" s="668"/>
      <c r="Q11" s="660"/>
      <c r="R11" s="82"/>
    </row>
    <row r="12" spans="2:18" ht="24" customHeight="1" x14ac:dyDescent="0.25">
      <c r="B12" s="80"/>
      <c r="C12" s="81"/>
      <c r="D12" s="362" t="s">
        <v>256</v>
      </c>
      <c r="E12" s="362">
        <f>COUNTIFS(Tabla13[Estado],"Ingenieria",Tabla13[Tipo],"Fabricación")</f>
        <v>0</v>
      </c>
      <c r="F12" s="362">
        <f>COUNTIFS(Tabla13[Estado],"Diseño Cerrado",Tabla13[LM SAP],"No Disponible",Tabla13[Tipo],"Fabricación")</f>
        <v>0</v>
      </c>
      <c r="G12" s="362">
        <f>COUNTIFS(Tabla13[Estado],"Diseño Cerrado",Tabla13[LM SAP],"Firmas SAP",Tabla13[Tipo],"Fabricación")</f>
        <v>0</v>
      </c>
      <c r="H12" s="362">
        <f>COUNTIFS(Tabla13[Estado],"Diseño Cerrado",Tabla13[LM SAP],"Disponible",Tabla13[Tipo],"Fabricación")+COUNTIFS(Tabla13[Estado],"Diseño Cerrado",Tabla13[LM SAP],"CONSULTAR",Tabla13[Tipo],"Fabricación")</f>
        <v>0</v>
      </c>
      <c r="I12" s="362">
        <f>COUNTIFS(Tabla13[Estado],"Control Producción",Tabla13[Tipo],"Fabricación")</f>
        <v>0</v>
      </c>
      <c r="J12" s="362">
        <f>COUNTIFS(Tabla13[Estado],"Sin stock de materiales claves",Tabla13[Tipo],"Fabricación")</f>
        <v>0</v>
      </c>
      <c r="K12" s="362">
        <f>COUNTIFS(Tabla13[Estado],"Montaje",Tabla13[Tipo],"Fabricación")</f>
        <v>0</v>
      </c>
      <c r="L12" s="362">
        <f>COUNTIFS(Tabla13[Estado],"Parada: Material",Tabla13[Tipo],"Fabricación")</f>
        <v>0</v>
      </c>
      <c r="M12" s="362">
        <f>COUNTIFS(Tabla13[Estado],"Parada: Diseño",Tabla13[Tipo],"Fabricación")</f>
        <v>0</v>
      </c>
      <c r="N12" s="362">
        <f>COUNTIFS(Tabla13[Estado],"Parada: Instalación",Tabla13[Tipo],"Fabricación")</f>
        <v>1</v>
      </c>
      <c r="O12" s="362">
        <f>COUNTIFS(Tabla13[Estado],"Calidad",Tabla13[Tipo],"Fabricación")+COUNTIFS(Tabla13[Estado],"Calidad NO OK",Tabla13[Tipo],"Fabricación")</f>
        <v>10</v>
      </c>
      <c r="P12" s="362">
        <f>COUNTIFS(Tabla13[Estado],"Finalizada",Tabla13[Tipo],"Fabricación")</f>
        <v>0</v>
      </c>
      <c r="Q12" s="362">
        <f>SUM(D12:P12)</f>
        <v>11</v>
      </c>
      <c r="R12" s="82"/>
    </row>
    <row r="13" spans="2:18" ht="24" customHeight="1" thickBot="1" x14ac:dyDescent="0.3">
      <c r="B13" s="80"/>
      <c r="C13" s="81"/>
      <c r="D13" s="363" t="s">
        <v>227</v>
      </c>
      <c r="E13" s="363">
        <f>COUNTIFS(Tabla13[Estado],"Ingenieria",Tabla13[Tipo],"Instalación")</f>
        <v>0</v>
      </c>
      <c r="F13" s="363">
        <f>COUNTIFS(Tabla13[Estado],"Diseño cerrado",Tabla13[LM SAP],"No Disponible",Tabla13[Tipo],"Instalación")</f>
        <v>0</v>
      </c>
      <c r="G13" s="363">
        <f>COUNTIFS(Tabla13[Estado],"Diseño cerrado",Tabla13[LM SAP],"Firmas SAP",Tabla13[Tipo],"Instalación")</f>
        <v>0</v>
      </c>
      <c r="H13" s="363">
        <f>COUNTIFS(Tabla13[Estado],"Diseño Cerrado",Tabla13[LM SAP],"Disponible",Tabla13[Tipo],"Instalación")+COUNTIFS(Tabla13[Estado],"Diseño Cerrado",Tabla13[LM SAP],"CONSULTAR",Tabla13[Tipo],"Instalación")</f>
        <v>0</v>
      </c>
      <c r="I13" s="363">
        <f>COUNTIFS(Tabla13[Estado],"Control Producción",Tabla13[Tipo],"Instalación")</f>
        <v>0</v>
      </c>
      <c r="J13" s="363">
        <f>COUNTIFS(Tabla13[Estado],"Sin stock de materiales claves",Tabla13[Tipo],"Instalación")</f>
        <v>0</v>
      </c>
      <c r="K13" s="363">
        <f>COUNTIFS(Tabla13[Estado],"Montaje",Tabla13[Tipo],"Instalación")</f>
        <v>0</v>
      </c>
      <c r="L13" s="363">
        <f>COUNTIFS(Tabla13[Estado],"Parada: Material",Tabla13[Tipo],"Instalación")</f>
        <v>0</v>
      </c>
      <c r="M13" s="363">
        <f>COUNTIFS(Tabla13[Estado],"Parada: Diseño",Tabla13[Tipo],"Instalación")</f>
        <v>0</v>
      </c>
      <c r="N13" s="363">
        <f>COUNTIFS(Tabla13[Estado],"Parada: Instalación",Tabla13[Tipo],"Instalación")</f>
        <v>0</v>
      </c>
      <c r="O13" s="363">
        <f>COUNTIFS(Tabla13[Estado],"Calidad",Tabla13[Tipo],"Instalación")+COUNTIFS(Tabla13[Estado],"Calidad NO OK",Tabla13[Tipo],"Instalación")</f>
        <v>21</v>
      </c>
      <c r="P13" s="363">
        <f>COUNTIFS(Tabla13[Estado],"Finalizada",Tabla13[Tipo],"Instalación")</f>
        <v>1</v>
      </c>
      <c r="Q13" s="363">
        <f>SUM(D13:P13)</f>
        <v>22</v>
      </c>
      <c r="R13" s="82"/>
    </row>
    <row r="14" spans="2:18" ht="24" customHeight="1" thickBot="1" x14ac:dyDescent="0.3">
      <c r="B14" s="80"/>
      <c r="C14" s="81"/>
      <c r="D14" s="669" t="s">
        <v>211</v>
      </c>
      <c r="E14" s="362">
        <f>SUM(E12:E13)</f>
        <v>0</v>
      </c>
      <c r="F14" s="362">
        <f t="shared" ref="F14:P14" si="0">SUM(F12:F13)</f>
        <v>0</v>
      </c>
      <c r="G14" s="362">
        <f t="shared" si="0"/>
        <v>0</v>
      </c>
      <c r="H14" s="362">
        <f t="shared" si="0"/>
        <v>0</v>
      </c>
      <c r="I14" s="362">
        <f t="shared" si="0"/>
        <v>0</v>
      </c>
      <c r="J14" s="362">
        <f t="shared" si="0"/>
        <v>0</v>
      </c>
      <c r="K14" s="362">
        <f>SUM(K12:K13)</f>
        <v>0</v>
      </c>
      <c r="L14" s="362">
        <f t="shared" si="0"/>
        <v>0</v>
      </c>
      <c r="M14" s="362">
        <f t="shared" si="0"/>
        <v>0</v>
      </c>
      <c r="N14" s="362">
        <f t="shared" si="0"/>
        <v>1</v>
      </c>
      <c r="O14" s="362">
        <f t="shared" si="0"/>
        <v>31</v>
      </c>
      <c r="P14" s="362">
        <f t="shared" si="0"/>
        <v>1</v>
      </c>
      <c r="Q14" s="362">
        <f>SUM(D14:P14)</f>
        <v>33</v>
      </c>
      <c r="R14" s="82"/>
    </row>
    <row r="15" spans="2:18" ht="24" customHeight="1" thickBot="1" x14ac:dyDescent="0.3">
      <c r="B15" s="80"/>
      <c r="C15" s="81"/>
      <c r="D15" s="670"/>
      <c r="E15" s="311">
        <f>E14/$Q$14</f>
        <v>0</v>
      </c>
      <c r="F15" s="311">
        <f t="shared" ref="F15:P15" si="1">F14/$Q$14</f>
        <v>0</v>
      </c>
      <c r="G15" s="53">
        <f t="shared" si="1"/>
        <v>0</v>
      </c>
      <c r="H15" s="313">
        <f t="shared" si="1"/>
        <v>0</v>
      </c>
      <c r="I15" s="53">
        <f t="shared" si="1"/>
        <v>0</v>
      </c>
      <c r="J15" s="311">
        <f t="shared" si="1"/>
        <v>0</v>
      </c>
      <c r="K15" s="311">
        <f t="shared" si="1"/>
        <v>0</v>
      </c>
      <c r="L15" s="311">
        <f t="shared" si="1"/>
        <v>0</v>
      </c>
      <c r="M15" s="311">
        <f t="shared" si="1"/>
        <v>0</v>
      </c>
      <c r="N15" s="311">
        <f t="shared" si="1"/>
        <v>3.0303030303030304E-2</v>
      </c>
      <c r="O15" s="311">
        <f t="shared" si="1"/>
        <v>0.93939393939393945</v>
      </c>
      <c r="P15" s="53">
        <f t="shared" si="1"/>
        <v>3.0303030303030304E-2</v>
      </c>
      <c r="Q15" s="135">
        <f>SUM(D15:P15)</f>
        <v>1</v>
      </c>
      <c r="R15" s="82"/>
    </row>
    <row r="16" spans="2:18" x14ac:dyDescent="0.25">
      <c r="B16" s="80"/>
      <c r="C16" s="81"/>
      <c r="D16" s="81"/>
      <c r="E16" s="81"/>
      <c r="F16" s="81"/>
      <c r="G16" s="81"/>
      <c r="H16" s="81"/>
      <c r="I16" s="81"/>
      <c r="J16" s="81"/>
      <c r="K16" s="81"/>
      <c r="L16" s="81"/>
      <c r="M16" s="81"/>
      <c r="N16" s="81"/>
      <c r="O16" s="81"/>
      <c r="P16" s="81"/>
      <c r="Q16" s="81"/>
      <c r="R16" s="82"/>
    </row>
    <row r="17" spans="2:18" ht="26.85" customHeight="1" x14ac:dyDescent="0.25">
      <c r="B17" s="80"/>
      <c r="C17" s="81"/>
      <c r="D17" s="81"/>
      <c r="E17" s="81"/>
      <c r="F17" s="81"/>
      <c r="G17" s="81"/>
      <c r="H17" s="81"/>
      <c r="I17" s="81"/>
      <c r="J17" s="81"/>
      <c r="K17" s="81"/>
      <c r="L17" s="81"/>
      <c r="M17" s="81"/>
      <c r="N17" s="81"/>
      <c r="O17" s="81"/>
      <c r="P17" s="81"/>
      <c r="Q17" s="81"/>
      <c r="R17" s="82"/>
    </row>
    <row r="18" spans="2:18" x14ac:dyDescent="0.25">
      <c r="B18" s="80"/>
      <c r="C18" s="81"/>
      <c r="D18" s="81"/>
      <c r="E18" s="81"/>
      <c r="F18" s="81"/>
      <c r="G18" s="81"/>
      <c r="H18" s="81"/>
      <c r="I18" s="81"/>
      <c r="J18" s="81"/>
      <c r="K18" s="81"/>
      <c r="L18" s="81"/>
      <c r="M18" s="81"/>
      <c r="N18" s="81"/>
      <c r="O18" s="81"/>
      <c r="P18" s="81"/>
      <c r="Q18" s="81"/>
      <c r="R18" s="82"/>
    </row>
    <row r="19" spans="2:18" x14ac:dyDescent="0.25">
      <c r="B19" s="80"/>
      <c r="C19" s="81"/>
      <c r="D19" s="81"/>
      <c r="E19" s="81"/>
      <c r="F19" s="81"/>
      <c r="G19" s="81"/>
      <c r="H19" s="81"/>
      <c r="I19" s="81"/>
      <c r="J19" s="81"/>
      <c r="K19" s="81"/>
      <c r="L19" s="81"/>
      <c r="M19" s="81"/>
      <c r="N19" s="81"/>
      <c r="O19" s="81"/>
      <c r="P19" s="81"/>
      <c r="Q19" s="81"/>
      <c r="R19" s="82"/>
    </row>
    <row r="20" spans="2:18" ht="21.6" customHeight="1" x14ac:dyDescent="0.25">
      <c r="B20" s="80"/>
      <c r="C20" s="81"/>
      <c r="D20" s="81"/>
      <c r="E20" s="81"/>
      <c r="F20" s="81"/>
      <c r="G20" s="81"/>
      <c r="H20" s="81"/>
      <c r="I20" s="81"/>
      <c r="J20" s="81"/>
      <c r="K20" s="81"/>
      <c r="L20" s="81"/>
      <c r="M20" s="81"/>
      <c r="N20" s="81"/>
      <c r="O20" s="81"/>
      <c r="P20" s="81"/>
      <c r="Q20" s="81"/>
      <c r="R20" s="82"/>
    </row>
    <row r="21" spans="2:18" ht="21.6" customHeight="1" x14ac:dyDescent="0.25">
      <c r="B21" s="80"/>
      <c r="C21" s="81"/>
      <c r="D21" s="81"/>
      <c r="E21" s="81"/>
      <c r="F21" s="81"/>
      <c r="G21" s="81"/>
      <c r="H21" s="81"/>
      <c r="I21" s="81"/>
      <c r="J21" s="81"/>
      <c r="K21" s="81"/>
      <c r="L21" s="81"/>
      <c r="M21" s="81"/>
      <c r="N21" s="81"/>
      <c r="O21" s="81"/>
      <c r="P21" s="81"/>
      <c r="Q21" s="81"/>
      <c r="R21" s="82"/>
    </row>
    <row r="22" spans="2:18" ht="21.75" customHeight="1" x14ac:dyDescent="0.25">
      <c r="B22" s="80"/>
      <c r="C22" s="81"/>
      <c r="D22" s="81"/>
      <c r="E22" s="81"/>
      <c r="F22" s="81"/>
      <c r="G22" s="81"/>
      <c r="H22" s="81"/>
      <c r="I22" s="81"/>
      <c r="J22" s="81"/>
      <c r="K22" s="81"/>
      <c r="L22" s="81"/>
      <c r="M22" s="81"/>
      <c r="N22" s="81"/>
      <c r="O22" s="81"/>
      <c r="P22" s="81"/>
      <c r="Q22" s="81"/>
      <c r="R22" s="82"/>
    </row>
    <row r="23" spans="2:18" ht="21.6" customHeight="1" x14ac:dyDescent="0.25">
      <c r="B23" s="80"/>
      <c r="C23" s="81"/>
      <c r="D23" s="81"/>
      <c r="E23" s="81"/>
      <c r="F23" s="81"/>
      <c r="G23" s="81"/>
      <c r="H23" s="81"/>
      <c r="I23" s="81"/>
      <c r="J23" s="81"/>
      <c r="K23" s="81"/>
      <c r="L23" s="81"/>
      <c r="M23" s="81"/>
      <c r="N23" s="81"/>
      <c r="O23" s="81"/>
      <c r="P23" s="81"/>
      <c r="Q23" s="81"/>
      <c r="R23" s="82"/>
    </row>
    <row r="24" spans="2:18" x14ac:dyDescent="0.25">
      <c r="B24" s="80"/>
      <c r="C24" s="81"/>
      <c r="D24" s="81"/>
      <c r="E24" s="81"/>
      <c r="F24" s="81"/>
      <c r="G24" s="81"/>
      <c r="H24" s="81"/>
      <c r="I24" s="81"/>
      <c r="J24" s="81"/>
      <c r="K24" s="81"/>
      <c r="L24" s="81"/>
      <c r="M24" s="81"/>
      <c r="N24" s="81"/>
      <c r="O24" s="81"/>
      <c r="P24" s="81"/>
      <c r="Q24" s="81"/>
      <c r="R24" s="82"/>
    </row>
    <row r="25" spans="2:18" x14ac:dyDescent="0.25">
      <c r="B25" s="80"/>
      <c r="C25" s="81"/>
      <c r="D25" s="81"/>
      <c r="E25" s="81"/>
      <c r="F25" s="81"/>
      <c r="G25" s="81"/>
      <c r="H25" s="81"/>
      <c r="I25" s="81"/>
      <c r="J25" s="81"/>
      <c r="K25" s="81"/>
      <c r="L25" s="81"/>
      <c r="M25" s="81"/>
      <c r="N25" s="81"/>
      <c r="O25" s="81"/>
      <c r="P25" s="81"/>
      <c r="Q25" s="81"/>
      <c r="R25" s="82"/>
    </row>
    <row r="26" spans="2:18" x14ac:dyDescent="0.25">
      <c r="B26" s="80"/>
      <c r="C26" s="81"/>
      <c r="D26" s="81"/>
      <c r="E26" s="81"/>
      <c r="F26" s="81"/>
      <c r="G26" s="81"/>
      <c r="H26" s="81"/>
      <c r="I26" s="81"/>
      <c r="J26" s="81"/>
      <c r="K26" s="81"/>
      <c r="L26" s="81"/>
      <c r="M26" s="81"/>
      <c r="N26" s="81"/>
      <c r="O26" s="81"/>
      <c r="P26" s="81"/>
      <c r="Q26" s="81"/>
      <c r="R26" s="82"/>
    </row>
    <row r="27" spans="2:18" x14ac:dyDescent="0.25">
      <c r="B27" s="80"/>
      <c r="C27" s="81"/>
      <c r="D27" s="81"/>
      <c r="E27" s="81"/>
      <c r="F27" s="81"/>
      <c r="G27" s="81"/>
      <c r="H27" s="81"/>
      <c r="I27" s="81"/>
      <c r="J27" s="81"/>
      <c r="K27" s="81"/>
      <c r="L27" s="81"/>
      <c r="M27" s="81"/>
      <c r="N27" s="81"/>
      <c r="O27" s="81"/>
      <c r="P27" s="81"/>
      <c r="Q27" s="81"/>
      <c r="R27" s="82"/>
    </row>
    <row r="28" spans="2:18" x14ac:dyDescent="0.25">
      <c r="B28" s="80"/>
      <c r="C28" s="81"/>
      <c r="D28" s="81"/>
      <c r="E28" s="81"/>
      <c r="F28" s="81"/>
      <c r="G28" s="81"/>
      <c r="H28" s="81"/>
      <c r="I28" s="81"/>
      <c r="J28" s="81"/>
      <c r="K28" s="81"/>
      <c r="L28" s="81"/>
      <c r="M28" s="81"/>
      <c r="N28" s="81"/>
      <c r="O28" s="81"/>
      <c r="P28" s="81"/>
      <c r="Q28" s="81"/>
      <c r="R28" s="82"/>
    </row>
    <row r="29" spans="2:18" x14ac:dyDescent="0.25">
      <c r="B29" s="80"/>
      <c r="C29" s="81"/>
      <c r="D29" s="81"/>
      <c r="E29" s="81"/>
      <c r="F29" s="81"/>
      <c r="G29" s="81"/>
      <c r="H29" s="81"/>
      <c r="I29" s="81"/>
      <c r="J29" s="81"/>
      <c r="K29" s="81"/>
      <c r="L29" s="81"/>
      <c r="M29" s="81"/>
      <c r="N29" s="81"/>
      <c r="O29" s="81"/>
      <c r="P29" s="81"/>
      <c r="Q29" s="81"/>
      <c r="R29" s="82"/>
    </row>
    <row r="30" spans="2:18" x14ac:dyDescent="0.25">
      <c r="B30" s="80"/>
      <c r="C30" s="81"/>
      <c r="D30" s="81"/>
      <c r="E30" s="81"/>
      <c r="F30" s="81"/>
      <c r="G30" s="81"/>
      <c r="H30" s="81"/>
      <c r="I30" s="81"/>
      <c r="J30" s="81"/>
      <c r="K30" s="81"/>
      <c r="L30" s="81"/>
      <c r="M30" s="81"/>
      <c r="N30" s="81"/>
      <c r="O30" s="81"/>
      <c r="P30" s="81"/>
      <c r="Q30" s="81"/>
      <c r="R30" s="82"/>
    </row>
    <row r="31" spans="2:18" x14ac:dyDescent="0.25">
      <c r="B31" s="80"/>
      <c r="C31" s="81"/>
      <c r="D31" s="81"/>
      <c r="E31" s="81"/>
      <c r="F31" s="81"/>
      <c r="G31" s="81"/>
      <c r="H31" s="81"/>
      <c r="I31" s="81"/>
      <c r="J31" s="81"/>
      <c r="K31" s="81"/>
      <c r="L31" s="81"/>
      <c r="M31" s="81"/>
      <c r="N31" s="81"/>
      <c r="O31" s="81"/>
      <c r="P31" s="81"/>
      <c r="Q31" s="81"/>
      <c r="R31" s="82"/>
    </row>
    <row r="32" spans="2:18" x14ac:dyDescent="0.25">
      <c r="B32" s="80"/>
      <c r="C32" s="81"/>
      <c r="D32" s="81"/>
      <c r="E32" s="81"/>
      <c r="F32" s="81"/>
      <c r="G32" s="81"/>
      <c r="H32" s="81"/>
      <c r="I32" s="81"/>
      <c r="J32" s="81"/>
      <c r="K32" s="81"/>
      <c r="L32" s="81"/>
      <c r="M32" s="81"/>
      <c r="N32" s="81"/>
      <c r="O32" s="81"/>
      <c r="P32" s="81"/>
      <c r="Q32" s="81"/>
      <c r="R32" s="82"/>
    </row>
    <row r="33" spans="2:18" x14ac:dyDescent="0.25">
      <c r="B33" s="80"/>
      <c r="C33" s="81"/>
      <c r="D33" s="81"/>
      <c r="E33" s="81"/>
      <c r="F33" s="81"/>
      <c r="G33" s="81"/>
      <c r="H33" s="81"/>
      <c r="I33" s="81"/>
      <c r="J33" s="81"/>
      <c r="K33" s="81"/>
      <c r="L33" s="81"/>
      <c r="M33" s="81"/>
      <c r="N33" s="81"/>
      <c r="O33" s="81"/>
      <c r="P33" s="81"/>
      <c r="Q33" s="81"/>
      <c r="R33" s="82"/>
    </row>
    <row r="34" spans="2:18" x14ac:dyDescent="0.25">
      <c r="B34" s="80"/>
      <c r="C34" s="81"/>
      <c r="D34" s="81"/>
      <c r="E34" s="81"/>
      <c r="F34" s="81"/>
      <c r="G34" s="81"/>
      <c r="H34" s="81"/>
      <c r="I34" s="81"/>
      <c r="J34" s="81"/>
      <c r="K34" s="81"/>
      <c r="L34" s="81"/>
      <c r="M34" s="81"/>
      <c r="N34" s="81"/>
      <c r="O34" s="81"/>
      <c r="P34" s="81"/>
      <c r="Q34" s="81"/>
      <c r="R34" s="82"/>
    </row>
    <row r="35" spans="2:18" x14ac:dyDescent="0.25">
      <c r="B35" s="80"/>
      <c r="C35" s="81"/>
      <c r="D35" s="81"/>
      <c r="E35" s="81"/>
      <c r="F35" s="81"/>
      <c r="G35" s="81"/>
      <c r="H35" s="81"/>
      <c r="I35" s="81"/>
      <c r="J35" s="81"/>
      <c r="K35" s="81"/>
      <c r="L35" s="81"/>
      <c r="M35" s="81"/>
      <c r="N35" s="81"/>
      <c r="O35" s="81"/>
      <c r="P35" s="81"/>
      <c r="Q35" s="81"/>
      <c r="R35" s="82"/>
    </row>
    <row r="36" spans="2:18" x14ac:dyDescent="0.25">
      <c r="B36" s="80"/>
      <c r="C36" s="81"/>
      <c r="D36" s="81"/>
      <c r="E36" s="81"/>
      <c r="F36" s="81"/>
      <c r="G36" s="81"/>
      <c r="H36" s="81"/>
      <c r="I36" s="81"/>
      <c r="J36" s="81"/>
      <c r="K36" s="81"/>
      <c r="L36" s="81"/>
      <c r="M36" s="81"/>
      <c r="N36" s="81"/>
      <c r="O36" s="81"/>
      <c r="P36" s="81"/>
      <c r="Q36" s="81"/>
      <c r="R36" s="82"/>
    </row>
    <row r="37" spans="2:18" x14ac:dyDescent="0.25">
      <c r="B37" s="80"/>
      <c r="C37" s="81"/>
      <c r="D37" s="81"/>
      <c r="E37" s="81"/>
      <c r="F37" s="81"/>
      <c r="G37" s="81"/>
      <c r="H37" s="81"/>
      <c r="I37" s="81"/>
      <c r="J37" s="81"/>
      <c r="K37" s="81"/>
      <c r="L37" s="81"/>
      <c r="M37" s="81"/>
      <c r="N37" s="81"/>
      <c r="O37" s="81"/>
      <c r="P37" s="81"/>
      <c r="Q37" s="81"/>
      <c r="R37" s="82"/>
    </row>
    <row r="38" spans="2:18" x14ac:dyDescent="0.25">
      <c r="B38" s="80"/>
      <c r="C38" s="81"/>
      <c r="D38" s="81"/>
      <c r="E38" s="81"/>
      <c r="F38" s="81"/>
      <c r="G38" s="81"/>
      <c r="H38" s="81"/>
      <c r="I38" s="81"/>
      <c r="J38" s="81"/>
      <c r="K38" s="81"/>
      <c r="L38" s="81"/>
      <c r="M38" s="81"/>
      <c r="N38" s="81"/>
      <c r="O38" s="81"/>
      <c r="P38" s="81"/>
      <c r="Q38" s="81"/>
      <c r="R38" s="82"/>
    </row>
    <row r="39" spans="2:18" x14ac:dyDescent="0.25">
      <c r="B39" s="80"/>
      <c r="C39" s="81"/>
      <c r="D39" s="81"/>
      <c r="E39" s="81"/>
      <c r="F39" s="81"/>
      <c r="G39" s="81"/>
      <c r="H39" s="81"/>
      <c r="I39" s="81"/>
      <c r="J39" s="81"/>
      <c r="K39" s="81"/>
      <c r="L39" s="81"/>
      <c r="M39" s="81"/>
      <c r="N39" s="81"/>
      <c r="O39" s="81"/>
      <c r="P39" s="81"/>
      <c r="Q39" s="81"/>
      <c r="R39" s="82"/>
    </row>
    <row r="40" spans="2:18" x14ac:dyDescent="0.25">
      <c r="B40" s="80"/>
      <c r="C40" s="81"/>
      <c r="D40" s="81"/>
      <c r="E40" s="81"/>
      <c r="F40" s="81"/>
      <c r="G40" s="81"/>
      <c r="H40" s="81"/>
      <c r="I40" s="81"/>
      <c r="J40" s="81"/>
      <c r="K40" s="81"/>
      <c r="L40" s="81"/>
      <c r="M40" s="81"/>
      <c r="N40" s="81"/>
      <c r="O40" s="81"/>
      <c r="P40" s="81"/>
      <c r="Q40" s="81"/>
      <c r="R40" s="82"/>
    </row>
    <row r="41" spans="2:18" ht="15.75" thickBot="1" x14ac:dyDescent="0.3">
      <c r="B41" s="83"/>
      <c r="C41" s="84"/>
      <c r="D41" s="84"/>
      <c r="E41" s="84"/>
      <c r="F41" s="84"/>
      <c r="G41" s="84"/>
      <c r="H41" s="84"/>
      <c r="I41" s="84"/>
      <c r="J41" s="84"/>
      <c r="K41" s="84"/>
      <c r="L41" s="84"/>
      <c r="M41" s="84"/>
      <c r="N41" s="84"/>
      <c r="O41" s="84"/>
      <c r="P41" s="84"/>
      <c r="Q41" s="84"/>
      <c r="R41" s="85"/>
    </row>
  </sheetData>
  <mergeCells count="10">
    <mergeCell ref="O10:O11"/>
    <mergeCell ref="P10:P11"/>
    <mergeCell ref="Q10:Q11"/>
    <mergeCell ref="D14:D15"/>
    <mergeCell ref="E10:E11"/>
    <mergeCell ref="F10:H10"/>
    <mergeCell ref="I10:I11"/>
    <mergeCell ref="J10:J11"/>
    <mergeCell ref="K10:K11"/>
    <mergeCell ref="L10:N10"/>
  </mergeCells>
  <conditionalFormatting sqref="J15">
    <cfRule type="containsText" dxfId="355" priority="9" operator="containsText" text="Calidad NO OK">
      <formula>NOT(ISERROR(SEARCH("Calidad NO OK",J15)))</formula>
    </cfRule>
    <cfRule type="containsText" dxfId="354" priority="10" operator="containsText" text="Finalizada">
      <formula>NOT(ISERROR(SEARCH("Finalizada",J15)))</formula>
    </cfRule>
    <cfRule type="containsText" dxfId="353" priority="11" operator="containsText" text="Calidad">
      <formula>NOT(ISERROR(SEARCH("Calidad",J15)))</formula>
    </cfRule>
    <cfRule type="containsText" dxfId="352" priority="12" operator="containsText" text="Montaje">
      <formula>NOT(ISERROR(SEARCH("Montaje",J15)))</formula>
    </cfRule>
    <cfRule type="containsText" dxfId="351" priority="13" operator="containsText" text="OP liberada">
      <formula>NOT(ISERROR(SEARCH("OP liberada",J15)))</formula>
    </cfRule>
    <cfRule type="containsText" dxfId="350" priority="14" operator="containsText" text="OP creada">
      <formula>NOT(ISERROR(SEARCH("OP creada",J15)))</formula>
    </cfRule>
    <cfRule type="containsText" dxfId="349" priority="15" operator="containsText" text="Pendiente creacion de OP">
      <formula>NOT(ISERROR(SEARCH("Pendiente creacion de OP",J15)))</formula>
    </cfRule>
    <cfRule type="containsText" dxfId="348" priority="16" operator="containsText" text="En diseño">
      <formula>NOT(ISERROR(SEARCH("En diseño",J15)))</formula>
    </cfRule>
    <cfRule type="containsText" dxfId="347" priority="17" operator="containsText" text="Pendiente LM">
      <formula>NOT(ISERROR(SEARCH("Pendiente LM",J15)))</formula>
    </cfRule>
    <cfRule type="containsText" dxfId="346" priority="18" operator="containsText" text="Sin stock materiales">
      <formula>NOT(ISERROR(SEARCH("Sin stock materiales",J15)))</formula>
    </cfRule>
    <cfRule type="containsText" dxfId="345" priority="19" operator="containsText" text="Parada:">
      <formula>NOT(ISERROR(SEARCH("Parada:",J15)))</formula>
    </cfRule>
  </conditionalFormatting>
  <conditionalFormatting sqref="M11 L10">
    <cfRule type="beginsWith" dxfId="344" priority="1" operator="beginsWith" text="Parada:">
      <formula>LEFT(L10,LEN("Parada:"))="Parada:"</formula>
    </cfRule>
    <cfRule type="beginsWith" dxfId="343" priority="2" operator="beginsWith" text="Calidad">
      <formula>LEFT(L10,LEN("Calidad"))="Calidad"</formula>
    </cfRule>
    <cfRule type="beginsWith" dxfId="342" priority="3" operator="beginsWith" text="Control Producción">
      <formula>LEFT(L10,LEN("Control Producción"))="Control Producción"</formula>
    </cfRule>
    <cfRule type="beginsWith" dxfId="341" priority="4" operator="beginsWith" text="Montaje">
      <formula>LEFT(L10,LEN("Montaje"))="Montaje"</formula>
    </cfRule>
    <cfRule type="beginsWith" dxfId="340" priority="5" operator="beginsWith" text="Finalizada">
      <formula>LEFT(L10,LEN("Finalizada"))="Finalizada"</formula>
    </cfRule>
    <cfRule type="beginsWith" dxfId="339" priority="6" operator="beginsWith" text="Calidad NO OK">
      <formula>LEFT(L10,LEN("Calidad NO OK"))="Calidad NO OK"</formula>
    </cfRule>
    <cfRule type="beginsWith" dxfId="338" priority="7" operator="beginsWith" text="Sin Stock">
      <formula>LEFT(L10,LEN("Sin Stock"))="Sin Stock"</formula>
    </cfRule>
    <cfRule type="beginsWith" dxfId="337" priority="8" operator="beginsWith" text="Ingenieria">
      <formula>LEFT(L10,LEN("Ingenieria"))="Ingenieria"</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9E624-1381-4075-808A-89878AEE8153}">
  <sheetPr codeName="Hoja14">
    <tabColor rgb="FFFFC000"/>
  </sheetPr>
  <dimension ref="A1"/>
  <sheetViews>
    <sheetView topLeftCell="A7" zoomScale="60" zoomScaleNormal="60" workbookViewId="0">
      <selection activeCell="J73" sqref="J73"/>
    </sheetView>
  </sheetViews>
  <sheetFormatPr baseColWidth="10" defaultColWidth="11.42578125" defaultRowHeight="15" x14ac:dyDescent="0.25"/>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5D687-8B8C-401F-B164-819A83A1BF90}">
  <sheetPr codeName="Hoja4">
    <tabColor theme="9" tint="0.59999389629810485"/>
    <pageSetUpPr fitToPage="1"/>
  </sheetPr>
  <dimension ref="A1:N331"/>
  <sheetViews>
    <sheetView topLeftCell="A152" zoomScale="70" zoomScaleNormal="70" zoomScaleSheetLayoutView="80" workbookViewId="0">
      <selection activeCell="H330" sqref="H330"/>
    </sheetView>
  </sheetViews>
  <sheetFormatPr baseColWidth="10" defaultColWidth="11.42578125" defaultRowHeight="15" customHeight="1" outlineLevelRow="1" x14ac:dyDescent="0.25"/>
  <cols>
    <col min="1" max="2" width="2.5703125" customWidth="1"/>
    <col min="3" max="3" width="20.5703125" customWidth="1"/>
    <col min="4" max="5" width="23.42578125" bestFit="1" customWidth="1"/>
    <col min="6" max="6" width="39.5703125" customWidth="1"/>
    <col min="7" max="7" width="14.42578125" customWidth="1"/>
    <col min="8" max="8" width="75.5703125" customWidth="1"/>
    <col min="9" max="9" width="146" bestFit="1" customWidth="1"/>
    <col min="10" max="10" width="13.5703125" customWidth="1"/>
    <col min="11" max="11" width="26.5703125" bestFit="1" customWidth="1"/>
    <col min="12" max="12" width="24" bestFit="1" customWidth="1"/>
    <col min="13" max="13" width="12.5703125" style="50" customWidth="1"/>
    <col min="14" max="14" width="11.42578125" style="50" customWidth="1"/>
    <col min="15" max="15" width="16" customWidth="1"/>
    <col min="16" max="16" width="13.5703125" customWidth="1"/>
  </cols>
  <sheetData>
    <row r="1" spans="1:14" x14ac:dyDescent="0.25">
      <c r="A1" s="365"/>
      <c r="B1" s="365"/>
      <c r="C1" s="365"/>
      <c r="D1" s="365"/>
      <c r="E1" s="365"/>
      <c r="F1" s="365"/>
      <c r="G1" s="365"/>
      <c r="H1" s="365"/>
      <c r="I1" s="365"/>
      <c r="J1" s="365"/>
      <c r="M1"/>
      <c r="N1"/>
    </row>
    <row r="2" spans="1:14" x14ac:dyDescent="0.25">
      <c r="A2" s="365"/>
      <c r="B2" s="365"/>
      <c r="C2" s="365"/>
      <c r="D2" s="365"/>
      <c r="E2" s="365"/>
      <c r="F2" s="365"/>
      <c r="G2" s="365"/>
      <c r="H2" s="365"/>
      <c r="I2" s="365"/>
      <c r="J2" s="365"/>
      <c r="M2"/>
      <c r="N2"/>
    </row>
    <row r="3" spans="1:14" ht="15.75" thickBot="1" x14ac:dyDescent="0.3">
      <c r="A3" s="365"/>
      <c r="B3" s="365"/>
      <c r="C3" s="365"/>
      <c r="D3" s="365"/>
      <c r="E3" s="365"/>
      <c r="F3" s="365"/>
      <c r="G3" s="365"/>
      <c r="H3" s="365"/>
      <c r="I3" s="365"/>
      <c r="J3" s="365"/>
      <c r="M3"/>
      <c r="N3"/>
    </row>
    <row r="4" spans="1:14" ht="19.5" outlineLevel="1" thickBot="1" x14ac:dyDescent="0.3">
      <c r="A4" s="365"/>
      <c r="B4" s="365"/>
      <c r="C4" s="365"/>
      <c r="D4" s="365"/>
      <c r="E4" s="365"/>
      <c r="F4" s="674" t="s">
        <v>1571</v>
      </c>
      <c r="G4" s="675"/>
      <c r="H4" s="365"/>
      <c r="I4" s="365"/>
      <c r="J4" s="365"/>
      <c r="M4"/>
      <c r="N4"/>
    </row>
    <row r="5" spans="1:14" ht="21" customHeight="1" outlineLevel="1" thickBot="1" x14ac:dyDescent="0.3">
      <c r="A5" s="365"/>
      <c r="B5" s="365"/>
      <c r="C5" s="365"/>
      <c r="D5" s="365"/>
      <c r="E5" s="365"/>
      <c r="F5" s="397" t="s">
        <v>1572</v>
      </c>
      <c r="G5" s="400">
        <f>COUNTIF(Tabla1322[ESTADO],"Open")</f>
        <v>40</v>
      </c>
      <c r="H5" s="365"/>
      <c r="I5" s="365"/>
      <c r="J5" s="365"/>
      <c r="M5"/>
      <c r="N5"/>
    </row>
    <row r="6" spans="1:14" ht="21" customHeight="1" outlineLevel="1" thickBot="1" x14ac:dyDescent="0.3">
      <c r="A6" s="365"/>
      <c r="B6" s="365"/>
      <c r="C6" s="395" t="s">
        <v>1563</v>
      </c>
      <c r="D6" s="396" t="s">
        <v>9</v>
      </c>
      <c r="E6" s="365"/>
      <c r="F6" s="398" t="s">
        <v>1411</v>
      </c>
      <c r="G6" s="401">
        <f>COUNTIF(Tabla1322[ESTADO],"Closed")</f>
        <v>241</v>
      </c>
      <c r="H6" s="365"/>
      <c r="I6" s="365"/>
      <c r="J6" s="365"/>
      <c r="M6"/>
      <c r="N6"/>
    </row>
    <row r="7" spans="1:14" ht="21" customHeight="1" outlineLevel="1" thickBot="1" x14ac:dyDescent="0.3">
      <c r="A7" s="365"/>
      <c r="B7" s="365"/>
      <c r="C7" s="384" t="s">
        <v>1573</v>
      </c>
      <c r="D7" s="378" t="s">
        <v>1574</v>
      </c>
      <c r="E7" s="365"/>
      <c r="F7" s="399" t="s">
        <v>1413</v>
      </c>
      <c r="G7" s="402">
        <f>G6+G5</f>
        <v>281</v>
      </c>
      <c r="H7" s="365"/>
      <c r="I7" s="365"/>
      <c r="J7" s="365"/>
      <c r="M7"/>
      <c r="N7"/>
    </row>
    <row r="8" spans="1:14" ht="21" customHeight="1" outlineLevel="1" x14ac:dyDescent="0.25">
      <c r="A8" s="365"/>
      <c r="B8" s="365"/>
      <c r="C8" s="365"/>
      <c r="D8" s="365"/>
      <c r="E8" s="365"/>
      <c r="F8" s="365"/>
      <c r="G8" s="365"/>
      <c r="H8" s="365"/>
      <c r="I8" s="365"/>
      <c r="J8" s="365"/>
      <c r="M8"/>
      <c r="N8"/>
    </row>
    <row r="9" spans="1:14" ht="15.75" thickBot="1" x14ac:dyDescent="0.3">
      <c r="A9" s="365"/>
      <c r="B9" s="365"/>
      <c r="C9" s="365"/>
      <c r="D9" s="365"/>
      <c r="E9" s="365"/>
      <c r="F9" s="365"/>
      <c r="G9" s="365"/>
      <c r="H9" s="365"/>
      <c r="I9" s="365"/>
      <c r="J9" s="365"/>
      <c r="M9"/>
      <c r="N9"/>
    </row>
    <row r="10" spans="1:14" s="377" customFormat="1" ht="19.5" thickBot="1" x14ac:dyDescent="0.35">
      <c r="A10" s="365"/>
      <c r="B10" s="365"/>
      <c r="C10" s="404" t="s">
        <v>8</v>
      </c>
      <c r="D10" s="406" t="s">
        <v>1575</v>
      </c>
      <c r="E10" s="405" t="s">
        <v>9</v>
      </c>
      <c r="F10" s="405" t="s">
        <v>1576</v>
      </c>
      <c r="G10" s="405" t="s">
        <v>1421</v>
      </c>
      <c r="H10" s="405" t="s">
        <v>1577</v>
      </c>
      <c r="I10" s="442" t="s">
        <v>1578</v>
      </c>
      <c r="J10" s="441" t="s">
        <v>1579</v>
      </c>
    </row>
    <row r="11" spans="1:14" ht="66" hidden="1" x14ac:dyDescent="0.25">
      <c r="A11" s="365"/>
      <c r="B11" s="365"/>
      <c r="C11" s="419">
        <f>VLOOKUP(Tabla1322[[#This Row],[Código INDRA]],Tabla13[[Código Indra]:[ID2]],24,FALSE)</f>
        <v>2</v>
      </c>
      <c r="D11" s="420">
        <v>45694</v>
      </c>
      <c r="E11" s="420" t="s">
        <v>1422</v>
      </c>
      <c r="F11" s="439" t="s">
        <v>1423</v>
      </c>
      <c r="G11" s="439" t="s">
        <v>1436</v>
      </c>
      <c r="H11" s="422" t="s">
        <v>1580</v>
      </c>
      <c r="I11" s="443" t="s">
        <v>1581</v>
      </c>
      <c r="J11" s="440"/>
      <c r="M11"/>
      <c r="N11"/>
    </row>
    <row r="12" spans="1:14" ht="49.5" x14ac:dyDescent="0.25">
      <c r="A12" s="365"/>
      <c r="B12" s="365"/>
      <c r="C12" s="419">
        <f>VLOOKUP(Tabla1322[[#This Row],[Código INDRA]],Tabla13[[Código Indra]:[ID2]],24,FALSE)</f>
        <v>3</v>
      </c>
      <c r="D12" s="420">
        <v>45659</v>
      </c>
      <c r="E12" s="420" t="s">
        <v>97</v>
      </c>
      <c r="F12" s="421" t="s">
        <v>98</v>
      </c>
      <c r="G12" s="420" t="s">
        <v>1582</v>
      </c>
      <c r="H12" s="422" t="s">
        <v>1583</v>
      </c>
      <c r="I12" s="443" t="s">
        <v>1584</v>
      </c>
      <c r="J12" s="440"/>
      <c r="M12"/>
      <c r="N12"/>
    </row>
    <row r="13" spans="1:14" ht="33" hidden="1" x14ac:dyDescent="0.25">
      <c r="A13" s="365"/>
      <c r="B13" s="365"/>
      <c r="C13" s="419">
        <f>VLOOKUP(Tabla1322[[#This Row],[Código INDRA]],Tabla13[[Código Indra]:[ID2]],24,FALSE)</f>
        <v>3</v>
      </c>
      <c r="D13" s="420">
        <v>45694</v>
      </c>
      <c r="E13" s="420" t="s">
        <v>97</v>
      </c>
      <c r="F13" s="439" t="s">
        <v>98</v>
      </c>
      <c r="G13" s="439" t="s">
        <v>1436</v>
      </c>
      <c r="H13" s="422" t="s">
        <v>1585</v>
      </c>
      <c r="I13" s="443" t="s">
        <v>1584</v>
      </c>
      <c r="J13" s="440"/>
      <c r="M13"/>
      <c r="N13"/>
    </row>
    <row r="14" spans="1:14" ht="49.5" hidden="1" x14ac:dyDescent="0.25">
      <c r="A14" s="365"/>
      <c r="B14" s="365"/>
      <c r="C14" s="419">
        <f>VLOOKUP(Tabla1322[[#This Row],[Código INDRA]],Tabla13[[Código Indra]:[ID2]],24,FALSE)</f>
        <v>3</v>
      </c>
      <c r="D14" s="420">
        <v>45694</v>
      </c>
      <c r="E14" s="420" t="s">
        <v>97</v>
      </c>
      <c r="F14" s="439" t="s">
        <v>98</v>
      </c>
      <c r="G14" s="439" t="s">
        <v>1436</v>
      </c>
      <c r="H14" s="422" t="s">
        <v>1586</v>
      </c>
      <c r="I14" s="443" t="s">
        <v>1584</v>
      </c>
      <c r="J14" s="440"/>
      <c r="M14"/>
      <c r="N14"/>
    </row>
    <row r="15" spans="1:14" ht="33" x14ac:dyDescent="0.25">
      <c r="A15" s="365"/>
      <c r="B15" s="365"/>
      <c r="C15" s="419">
        <f>VLOOKUP(Tabla1322[[#This Row],[Código INDRA]],Tabla13[[Código Indra]:[ID2]],24,FALSE)</f>
        <v>4</v>
      </c>
      <c r="D15" s="420">
        <v>45659</v>
      </c>
      <c r="E15" s="420" t="s">
        <v>120</v>
      </c>
      <c r="F15" s="421" t="s">
        <v>121</v>
      </c>
      <c r="G15" s="420" t="s">
        <v>1582</v>
      </c>
      <c r="H15" s="422" t="s">
        <v>1587</v>
      </c>
      <c r="I15" s="443" t="s">
        <v>1588</v>
      </c>
      <c r="J15" s="440"/>
      <c r="M15"/>
      <c r="N15"/>
    </row>
    <row r="16" spans="1:14" ht="82.5" hidden="1" x14ac:dyDescent="0.25">
      <c r="A16" s="365"/>
      <c r="B16" s="365"/>
      <c r="C16" s="419">
        <f>VLOOKUP(Tabla1322[[#This Row],[Código INDRA]],Tabla13[[Código Indra]:[ID2]],24,FALSE)</f>
        <v>5</v>
      </c>
      <c r="D16" s="420">
        <v>45609</v>
      </c>
      <c r="E16" s="420" t="s">
        <v>257</v>
      </c>
      <c r="F16" s="439" t="s">
        <v>258</v>
      </c>
      <c r="G16" s="439" t="s">
        <v>1436</v>
      </c>
      <c r="H16" s="422" t="s">
        <v>1589</v>
      </c>
      <c r="I16" s="443" t="s">
        <v>1590</v>
      </c>
      <c r="J16" s="440"/>
    </row>
    <row r="17" spans="1:10" ht="49.5" x14ac:dyDescent="0.25">
      <c r="A17" s="365"/>
      <c r="B17" s="365"/>
      <c r="C17" s="419">
        <f>VLOOKUP(Tabla1322[[#This Row],[Código INDRA]],Tabla13[[Código Indra]:[ID2]],24,FALSE)</f>
        <v>6</v>
      </c>
      <c r="D17" s="420">
        <v>45635</v>
      </c>
      <c r="E17" s="420" t="s">
        <v>264</v>
      </c>
      <c r="F17" s="421" t="s">
        <v>265</v>
      </c>
      <c r="G17" s="420" t="s">
        <v>1582</v>
      </c>
      <c r="H17" s="422" t="s">
        <v>1591</v>
      </c>
      <c r="I17" s="443" t="s">
        <v>1592</v>
      </c>
      <c r="J17" s="440"/>
    </row>
    <row r="18" spans="1:10" ht="66" hidden="1" x14ac:dyDescent="0.25">
      <c r="A18" s="365"/>
      <c r="B18" s="365"/>
      <c r="C18" s="419">
        <f>VLOOKUP(Tabla1322[[#This Row],[Código INDRA]],Tabla13[[Código Indra]:[ID2]],24,FALSE)</f>
        <v>7</v>
      </c>
      <c r="D18" s="420">
        <v>45671</v>
      </c>
      <c r="E18" s="420" t="s">
        <v>123</v>
      </c>
      <c r="F18" s="439" t="s">
        <v>124</v>
      </c>
      <c r="G18" s="439" t="s">
        <v>1436</v>
      </c>
      <c r="H18" s="422" t="s">
        <v>1593</v>
      </c>
      <c r="I18" s="443" t="s">
        <v>1594</v>
      </c>
      <c r="J18" s="440"/>
    </row>
    <row r="19" spans="1:10" ht="66" hidden="1" x14ac:dyDescent="0.25">
      <c r="A19" s="365"/>
      <c r="B19" s="365"/>
      <c r="C19" s="419">
        <f>VLOOKUP(Tabla1322[[#This Row],[Código INDRA]],Tabla13[[Código Indra]:[ID2]],24,FALSE)</f>
        <v>8</v>
      </c>
      <c r="D19" s="420">
        <v>45671</v>
      </c>
      <c r="E19" s="420" t="s">
        <v>125</v>
      </c>
      <c r="F19" s="439" t="s">
        <v>126</v>
      </c>
      <c r="G19" s="439" t="s">
        <v>1436</v>
      </c>
      <c r="H19" s="422" t="s">
        <v>1593</v>
      </c>
      <c r="I19" s="443" t="s">
        <v>1594</v>
      </c>
      <c r="J19" s="440"/>
    </row>
    <row r="20" spans="1:10" ht="66" x14ac:dyDescent="0.25">
      <c r="A20" s="365"/>
      <c r="B20" s="365"/>
      <c r="C20" s="419">
        <f>VLOOKUP(Tabla1322[[#This Row],[Código INDRA]],Tabla13[[Código Indra]:[ID2]],24,FALSE)</f>
        <v>9</v>
      </c>
      <c r="D20" s="420">
        <v>45659</v>
      </c>
      <c r="E20" s="420" t="s">
        <v>127</v>
      </c>
      <c r="F20" s="421" t="s">
        <v>128</v>
      </c>
      <c r="G20" s="420" t="s">
        <v>1582</v>
      </c>
      <c r="H20" s="422" t="s">
        <v>1595</v>
      </c>
      <c r="I20" s="443" t="s">
        <v>1596</v>
      </c>
      <c r="J20" s="440"/>
    </row>
    <row r="21" spans="1:10" ht="82.5" hidden="1" x14ac:dyDescent="0.25">
      <c r="A21" s="365"/>
      <c r="B21" s="365"/>
      <c r="C21" s="419">
        <f>VLOOKUP(Tabla1322[[#This Row],[Código INDRA]],Tabla13[[Código Indra]:[ID2]],24,FALSE)</f>
        <v>10</v>
      </c>
      <c r="D21" s="420">
        <v>45609</v>
      </c>
      <c r="E21" s="420" t="s">
        <v>268</v>
      </c>
      <c r="F21" s="439" t="s">
        <v>269</v>
      </c>
      <c r="G21" s="439" t="s">
        <v>1436</v>
      </c>
      <c r="H21" s="422" t="s">
        <v>1589</v>
      </c>
      <c r="I21" s="443" t="s">
        <v>1597</v>
      </c>
      <c r="J21" s="440"/>
    </row>
    <row r="22" spans="1:10" ht="33" hidden="1" x14ac:dyDescent="0.25">
      <c r="A22" s="365"/>
      <c r="B22" s="365"/>
      <c r="C22" s="419">
        <f>VLOOKUP(Tabla1322[[#This Row],[Código INDRA]],Tabla13[[Código Indra]:[ID2]],24,FALSE)</f>
        <v>11</v>
      </c>
      <c r="D22" s="420">
        <v>45566</v>
      </c>
      <c r="E22" s="420" t="s">
        <v>690</v>
      </c>
      <c r="F22" s="439" t="s">
        <v>691</v>
      </c>
      <c r="G22" s="439" t="s">
        <v>1436</v>
      </c>
      <c r="H22" s="422" t="s">
        <v>1598</v>
      </c>
      <c r="I22" s="443"/>
      <c r="J22" s="440"/>
    </row>
    <row r="23" spans="1:10" ht="33" hidden="1" x14ac:dyDescent="0.25">
      <c r="A23" s="365"/>
      <c r="B23" s="365"/>
      <c r="C23" s="419">
        <f>VLOOKUP(Tabla1322[[#This Row],[Código INDRA]],Tabla13[[Código Indra]:[ID2]],24,FALSE)</f>
        <v>11</v>
      </c>
      <c r="D23" s="420">
        <v>45566</v>
      </c>
      <c r="E23" s="420" t="s">
        <v>690</v>
      </c>
      <c r="F23" s="439" t="s">
        <v>691</v>
      </c>
      <c r="G23" s="439" t="s">
        <v>1436</v>
      </c>
      <c r="H23" s="422" t="s">
        <v>1599</v>
      </c>
      <c r="I23" s="443"/>
      <c r="J23" s="440"/>
    </row>
    <row r="24" spans="1:10" ht="33" hidden="1" x14ac:dyDescent="0.25">
      <c r="A24" s="365"/>
      <c r="B24" s="365"/>
      <c r="C24" s="419">
        <f>VLOOKUP(Tabla1322[[#This Row],[Código INDRA]],Tabla13[[Código Indra]:[ID2]],24,FALSE)</f>
        <v>11</v>
      </c>
      <c r="D24" s="420">
        <v>45566</v>
      </c>
      <c r="E24" s="420" t="s">
        <v>690</v>
      </c>
      <c r="F24" s="439" t="s">
        <v>691</v>
      </c>
      <c r="G24" s="439" t="s">
        <v>1436</v>
      </c>
      <c r="H24" s="422" t="s">
        <v>1600</v>
      </c>
      <c r="I24" s="443"/>
      <c r="J24" s="440"/>
    </row>
    <row r="25" spans="1:10" ht="66" x14ac:dyDescent="0.25">
      <c r="A25" s="365"/>
      <c r="B25" s="365"/>
      <c r="C25" s="419">
        <f>VLOOKUP(Tabla1322[[#This Row],[Código INDRA]],Tabla13[[Código Indra]:[ID2]],24,FALSE)</f>
        <v>12</v>
      </c>
      <c r="D25" s="420">
        <v>45659</v>
      </c>
      <c r="E25" s="420" t="s">
        <v>133</v>
      </c>
      <c r="F25" s="421" t="s">
        <v>134</v>
      </c>
      <c r="G25" s="420" t="s">
        <v>1582</v>
      </c>
      <c r="H25" s="422" t="s">
        <v>1601</v>
      </c>
      <c r="I25" s="443" t="s">
        <v>1596</v>
      </c>
      <c r="J25" s="440"/>
    </row>
    <row r="26" spans="1:10" ht="33" hidden="1" x14ac:dyDescent="0.25">
      <c r="A26" s="365"/>
      <c r="B26" s="365"/>
      <c r="C26" s="419">
        <f>VLOOKUP(Tabla1322[[#This Row],[Código INDRA]],Tabla13[[Código Indra]:[ID2]],24,FALSE)</f>
        <v>13</v>
      </c>
      <c r="D26" s="420">
        <v>45565</v>
      </c>
      <c r="E26" s="420" t="s">
        <v>272</v>
      </c>
      <c r="F26" s="439" t="s">
        <v>273</v>
      </c>
      <c r="G26" s="439" t="s">
        <v>1436</v>
      </c>
      <c r="H26" s="422" t="s">
        <v>1602</v>
      </c>
      <c r="I26" s="443" t="s">
        <v>1603</v>
      </c>
      <c r="J26" s="440"/>
    </row>
    <row r="27" spans="1:10" ht="49.5" hidden="1" x14ac:dyDescent="0.25">
      <c r="A27" s="365"/>
      <c r="B27" s="365"/>
      <c r="C27" s="419">
        <f>VLOOKUP(Tabla1322[[#This Row],[Código INDRA]],Tabla13[[Código Indra]:[ID2]],24,FALSE)</f>
        <v>13</v>
      </c>
      <c r="D27" s="420">
        <v>45565</v>
      </c>
      <c r="E27" s="420" t="s">
        <v>272</v>
      </c>
      <c r="F27" s="439" t="s">
        <v>273</v>
      </c>
      <c r="G27" s="439" t="s">
        <v>1436</v>
      </c>
      <c r="H27" s="422" t="s">
        <v>1604</v>
      </c>
      <c r="I27" s="443" t="s">
        <v>1603</v>
      </c>
      <c r="J27" s="440"/>
    </row>
    <row r="28" spans="1:10" ht="33" x14ac:dyDescent="0.25">
      <c r="A28" s="365"/>
      <c r="B28" s="365"/>
      <c r="C28" s="419">
        <f>VLOOKUP(Tabla1322[[#This Row],[Código INDRA]],Tabla13[[Código Indra]:[ID2]],24,FALSE)</f>
        <v>14</v>
      </c>
      <c r="D28" s="420">
        <v>45659</v>
      </c>
      <c r="E28" s="420" t="s">
        <v>1382</v>
      </c>
      <c r="F28" s="421" t="s">
        <v>1383</v>
      </c>
      <c r="G28" s="420" t="s">
        <v>1582</v>
      </c>
      <c r="H28" s="422" t="s">
        <v>1605</v>
      </c>
      <c r="I28" s="443" t="s">
        <v>1606</v>
      </c>
      <c r="J28" s="440"/>
    </row>
    <row r="29" spans="1:10" ht="33" hidden="1" x14ac:dyDescent="0.25">
      <c r="A29" s="365"/>
      <c r="B29" s="365"/>
      <c r="C29" s="419">
        <f>VLOOKUP(Tabla1322[[#This Row],[Código INDRA]],Tabla13[[Código Indra]:[ID2]],24,FALSE)</f>
        <v>14</v>
      </c>
      <c r="D29" s="420">
        <v>14</v>
      </c>
      <c r="E29" s="420" t="s">
        <v>1382</v>
      </c>
      <c r="F29" s="439" t="s">
        <v>1383</v>
      </c>
      <c r="G29" s="439" t="s">
        <v>1436</v>
      </c>
      <c r="H29" s="422" t="s">
        <v>1607</v>
      </c>
      <c r="I29" s="443" t="s">
        <v>1606</v>
      </c>
      <c r="J29" s="440"/>
    </row>
    <row r="30" spans="1:10" ht="33" hidden="1" x14ac:dyDescent="0.25">
      <c r="A30" s="365"/>
      <c r="B30" s="365"/>
      <c r="C30" s="419">
        <f>VLOOKUP(Tabla1322[[#This Row],[Código INDRA]],Tabla13[[Código Indra]:[ID2]],24,FALSE)</f>
        <v>15</v>
      </c>
      <c r="D30" s="420">
        <v>45565</v>
      </c>
      <c r="E30" s="420" t="s">
        <v>278</v>
      </c>
      <c r="F30" s="439" t="s">
        <v>279</v>
      </c>
      <c r="G30" s="439" t="s">
        <v>1436</v>
      </c>
      <c r="H30" s="422" t="s">
        <v>1608</v>
      </c>
      <c r="I30" s="443" t="s">
        <v>1609</v>
      </c>
      <c r="J30" s="440"/>
    </row>
    <row r="31" spans="1:10" ht="33" hidden="1" x14ac:dyDescent="0.25">
      <c r="A31" s="365"/>
      <c r="B31" s="365"/>
      <c r="C31" s="419">
        <f>VLOOKUP(Tabla1322[[#This Row],[Código INDRA]],Tabla13[[Código Indra]:[ID2]],24,FALSE)</f>
        <v>15</v>
      </c>
      <c r="D31" s="420">
        <v>45565</v>
      </c>
      <c r="E31" s="420" t="s">
        <v>278</v>
      </c>
      <c r="F31" s="439" t="s">
        <v>279</v>
      </c>
      <c r="G31" s="439" t="s">
        <v>1436</v>
      </c>
      <c r="H31" s="422" t="s">
        <v>1610</v>
      </c>
      <c r="I31" s="443" t="s">
        <v>1609</v>
      </c>
      <c r="J31" s="440"/>
    </row>
    <row r="32" spans="1:10" ht="33" hidden="1" x14ac:dyDescent="0.25">
      <c r="A32" s="365"/>
      <c r="B32" s="365"/>
      <c r="C32" s="419">
        <f>VLOOKUP(Tabla1322[[#This Row],[Código INDRA]],Tabla13[[Código Indra]:[ID2]],24,FALSE)</f>
        <v>15</v>
      </c>
      <c r="D32" s="420">
        <v>45565</v>
      </c>
      <c r="E32" s="420" t="s">
        <v>278</v>
      </c>
      <c r="F32" s="439" t="s">
        <v>279</v>
      </c>
      <c r="G32" s="439" t="s">
        <v>1436</v>
      </c>
      <c r="H32" s="422" t="s">
        <v>1611</v>
      </c>
      <c r="I32" s="443" t="s">
        <v>1609</v>
      </c>
      <c r="J32" s="440"/>
    </row>
    <row r="33" spans="1:10" ht="33" x14ac:dyDescent="0.25">
      <c r="A33" s="365"/>
      <c r="B33" s="365"/>
      <c r="C33" s="419">
        <f>VLOOKUP(Tabla1322[[#This Row],[Código INDRA]],Tabla13[[Código Indra]:[ID2]],24,FALSE)</f>
        <v>16</v>
      </c>
      <c r="D33" s="420">
        <v>45659</v>
      </c>
      <c r="E33" s="420" t="s">
        <v>1385</v>
      </c>
      <c r="F33" s="421" t="s">
        <v>1386</v>
      </c>
      <c r="G33" s="420" t="s">
        <v>1582</v>
      </c>
      <c r="H33" s="422" t="s">
        <v>1605</v>
      </c>
      <c r="I33" s="443" t="s">
        <v>1606</v>
      </c>
      <c r="J33" s="440"/>
    </row>
    <row r="34" spans="1:10" ht="33" hidden="1" x14ac:dyDescent="0.25">
      <c r="A34" s="365"/>
      <c r="B34" s="365"/>
      <c r="C34" s="419">
        <f>VLOOKUP(Tabla1322[[#This Row],[Código INDRA]],Tabla13[[Código Indra]:[ID2]],24,FALSE)</f>
        <v>16</v>
      </c>
      <c r="D34" s="420">
        <v>16</v>
      </c>
      <c r="E34" s="420" t="s">
        <v>1385</v>
      </c>
      <c r="F34" s="439" t="s">
        <v>1386</v>
      </c>
      <c r="G34" s="439" t="s">
        <v>1436</v>
      </c>
      <c r="H34" s="422" t="s">
        <v>1607</v>
      </c>
      <c r="I34" s="443" t="s">
        <v>1606</v>
      </c>
      <c r="J34" s="440"/>
    </row>
    <row r="35" spans="1:10" ht="49.5" hidden="1" x14ac:dyDescent="0.25">
      <c r="A35" s="365"/>
      <c r="B35" s="365"/>
      <c r="C35" s="419">
        <f>VLOOKUP(Tabla1322[[#This Row],[Código INDRA]],Tabla13[[Código Indra]:[ID2]],24,FALSE)</f>
        <v>18</v>
      </c>
      <c r="D35" s="420">
        <v>45565</v>
      </c>
      <c r="E35" s="420" t="s">
        <v>282</v>
      </c>
      <c r="F35" s="439" t="s">
        <v>283</v>
      </c>
      <c r="G35" s="439" t="s">
        <v>1436</v>
      </c>
      <c r="H35" s="422" t="s">
        <v>1612</v>
      </c>
      <c r="I35" s="443" t="s">
        <v>1613</v>
      </c>
      <c r="J35" s="440"/>
    </row>
    <row r="36" spans="1:10" ht="33" hidden="1" x14ac:dyDescent="0.25">
      <c r="A36" s="365"/>
      <c r="B36" s="365"/>
      <c r="C36" s="419">
        <f>VLOOKUP(Tabla1322[[#This Row],[Código INDRA]],Tabla13[[Código Indra]:[ID2]],24,FALSE)</f>
        <v>18</v>
      </c>
      <c r="D36" s="420">
        <v>45565</v>
      </c>
      <c r="E36" s="420" t="s">
        <v>282</v>
      </c>
      <c r="F36" s="439" t="s">
        <v>283</v>
      </c>
      <c r="G36" s="439" t="s">
        <v>1436</v>
      </c>
      <c r="H36" s="422" t="s">
        <v>1614</v>
      </c>
      <c r="I36" s="443" t="s">
        <v>1613</v>
      </c>
      <c r="J36" s="440"/>
    </row>
    <row r="37" spans="1:10" ht="66" x14ac:dyDescent="0.25">
      <c r="A37" s="365"/>
      <c r="B37" s="365"/>
      <c r="C37" s="419">
        <f>VLOOKUP(Tabla1322[[#This Row],[Código INDRA]],Tabla13[[Código Indra]:[ID2]],24,FALSE)</f>
        <v>19</v>
      </c>
      <c r="D37" s="420">
        <v>45659</v>
      </c>
      <c r="E37" s="420" t="s">
        <v>130</v>
      </c>
      <c r="F37" s="421" t="s">
        <v>131</v>
      </c>
      <c r="G37" s="420" t="s">
        <v>1582</v>
      </c>
      <c r="H37" s="422" t="s">
        <v>1615</v>
      </c>
      <c r="I37" s="443" t="s">
        <v>1588</v>
      </c>
      <c r="J37" s="440"/>
    </row>
    <row r="38" spans="1:10" ht="33" hidden="1" x14ac:dyDescent="0.25">
      <c r="A38" s="365"/>
      <c r="B38" s="365"/>
      <c r="C38" s="419">
        <f>VLOOKUP(Tabla1322[[#This Row],[Código INDRA]],Tabla13[[Código Indra]:[ID2]],24,FALSE)</f>
        <v>19</v>
      </c>
      <c r="D38" s="420">
        <v>45566</v>
      </c>
      <c r="E38" s="420" t="s">
        <v>130</v>
      </c>
      <c r="F38" s="439" t="s">
        <v>131</v>
      </c>
      <c r="G38" s="439" t="s">
        <v>1436</v>
      </c>
      <c r="H38" s="422" t="s">
        <v>1616</v>
      </c>
      <c r="I38" s="443" t="s">
        <v>1588</v>
      </c>
      <c r="J38" s="440"/>
    </row>
    <row r="39" spans="1:10" ht="66" hidden="1" x14ac:dyDescent="0.25">
      <c r="A39" s="365"/>
      <c r="B39" s="365"/>
      <c r="C39" s="419">
        <f>VLOOKUP(Tabla1322[[#This Row],[Código INDRA]],Tabla13[[Código Indra]:[ID2]],24,FALSE)</f>
        <v>20</v>
      </c>
      <c r="D39" s="420">
        <v>45636</v>
      </c>
      <c r="E39" s="420" t="s">
        <v>286</v>
      </c>
      <c r="F39" s="439" t="s">
        <v>1617</v>
      </c>
      <c r="G39" s="439" t="s">
        <v>1436</v>
      </c>
      <c r="H39" s="422" t="s">
        <v>1618</v>
      </c>
      <c r="I39" s="443" t="s">
        <v>1619</v>
      </c>
      <c r="J39" s="440"/>
    </row>
    <row r="40" spans="1:10" ht="66" hidden="1" x14ac:dyDescent="0.25">
      <c r="A40" s="365"/>
      <c r="B40" s="365"/>
      <c r="C40" s="419">
        <f>VLOOKUP(Tabla1322[[#This Row],[Código INDRA]],Tabla13[[Código Indra]:[ID2]],24,FALSE)</f>
        <v>21</v>
      </c>
      <c r="D40" s="420">
        <v>45572</v>
      </c>
      <c r="E40" s="420" t="s">
        <v>290</v>
      </c>
      <c r="F40" s="439" t="s">
        <v>1620</v>
      </c>
      <c r="G40" s="439" t="s">
        <v>1436</v>
      </c>
      <c r="H40" s="422" t="s">
        <v>1621</v>
      </c>
      <c r="I40" s="443" t="s">
        <v>1622</v>
      </c>
      <c r="J40" s="440"/>
    </row>
    <row r="41" spans="1:10" ht="82.5" hidden="1" x14ac:dyDescent="0.25">
      <c r="A41" s="365"/>
      <c r="B41" s="365"/>
      <c r="C41" s="419">
        <f>VLOOKUP(Tabla1322[[#This Row],[Código INDRA]],Tabla13[[Código Indra]:[ID2]],24,FALSE)</f>
        <v>22</v>
      </c>
      <c r="D41" s="420">
        <v>45568</v>
      </c>
      <c r="E41" s="420" t="s">
        <v>294</v>
      </c>
      <c r="F41" s="439" t="s">
        <v>295</v>
      </c>
      <c r="G41" s="439" t="s">
        <v>1436</v>
      </c>
      <c r="H41" s="422" t="s">
        <v>1623</v>
      </c>
      <c r="I41" s="443" t="s">
        <v>1624</v>
      </c>
      <c r="J41" s="440"/>
    </row>
    <row r="42" spans="1:10" ht="49.5" hidden="1" x14ac:dyDescent="0.25">
      <c r="A42" s="365"/>
      <c r="B42" s="365"/>
      <c r="C42" s="419">
        <f>VLOOKUP(Tabla1322[[#This Row],[Código INDRA]],Tabla13[[Código Indra]:[ID2]],24,FALSE)</f>
        <v>23</v>
      </c>
      <c r="D42" s="420">
        <v>45565</v>
      </c>
      <c r="E42" s="420" t="s">
        <v>297</v>
      </c>
      <c r="F42" s="439" t="s">
        <v>298</v>
      </c>
      <c r="G42" s="439" t="s">
        <v>1436</v>
      </c>
      <c r="H42" s="422" t="s">
        <v>1625</v>
      </c>
      <c r="I42" s="443" t="s">
        <v>1626</v>
      </c>
      <c r="J42" s="440"/>
    </row>
    <row r="43" spans="1:10" ht="33" hidden="1" x14ac:dyDescent="0.25">
      <c r="A43" s="365"/>
      <c r="B43" s="365"/>
      <c r="C43" s="419">
        <f>VLOOKUP(Tabla1322[[#This Row],[Código INDRA]],Tabla13[[Código Indra]:[ID2]],24,FALSE)</f>
        <v>24</v>
      </c>
      <c r="D43" s="420">
        <v>45561</v>
      </c>
      <c r="E43" s="420" t="s">
        <v>301</v>
      </c>
      <c r="F43" s="439" t="s">
        <v>302</v>
      </c>
      <c r="G43" s="439" t="s">
        <v>1436</v>
      </c>
      <c r="H43" s="422" t="s">
        <v>1627</v>
      </c>
      <c r="I43" s="443" t="s">
        <v>1628</v>
      </c>
      <c r="J43" s="440"/>
    </row>
    <row r="44" spans="1:10" ht="82.5" hidden="1" x14ac:dyDescent="0.25">
      <c r="A44" s="365"/>
      <c r="B44" s="365"/>
      <c r="C44" s="419">
        <f>VLOOKUP(Tabla1322[[#This Row],[Código INDRA]],Tabla13[[Código Indra]:[ID2]],24,FALSE)</f>
        <v>25</v>
      </c>
      <c r="D44" s="420">
        <v>45574</v>
      </c>
      <c r="E44" s="420" t="s">
        <v>305</v>
      </c>
      <c r="F44" s="439" t="s">
        <v>306</v>
      </c>
      <c r="G44" s="439" t="s">
        <v>1436</v>
      </c>
      <c r="H44" s="422" t="s">
        <v>1629</v>
      </c>
      <c r="I44" s="443" t="s">
        <v>1630</v>
      </c>
      <c r="J44" s="440"/>
    </row>
    <row r="45" spans="1:10" ht="49.5" x14ac:dyDescent="0.25">
      <c r="A45" s="365"/>
      <c r="B45" s="365"/>
      <c r="C45" s="419">
        <f>VLOOKUP(Tabla1322[[#This Row],[Código INDRA]],Tabla13[[Código Indra]:[ID2]],24,FALSE)</f>
        <v>26</v>
      </c>
      <c r="D45" s="420">
        <v>45993</v>
      </c>
      <c r="E45" s="438" t="s">
        <v>1438</v>
      </c>
      <c r="F45" s="421" t="s">
        <v>1439</v>
      </c>
      <c r="G45" s="420" t="s">
        <v>1582</v>
      </c>
      <c r="H45" s="422" t="s">
        <v>1631</v>
      </c>
      <c r="I45" s="443"/>
      <c r="J45" s="440"/>
    </row>
    <row r="46" spans="1:10" ht="49.5" hidden="1" x14ac:dyDescent="0.25">
      <c r="A46" s="365"/>
      <c r="B46" s="365"/>
      <c r="C46" s="419">
        <f>VLOOKUP(Tabla1322[[#This Row],[Código INDRA]],Tabla13[[Código Indra]:[ID2]],24,FALSE)</f>
        <v>28</v>
      </c>
      <c r="D46" s="420">
        <v>45588</v>
      </c>
      <c r="E46" s="420" t="s">
        <v>309</v>
      </c>
      <c r="F46" s="439" t="s">
        <v>310</v>
      </c>
      <c r="G46" s="439" t="s">
        <v>1436</v>
      </c>
      <c r="H46" s="422" t="s">
        <v>1632</v>
      </c>
      <c r="I46" s="443" t="s">
        <v>1633</v>
      </c>
      <c r="J46" s="440"/>
    </row>
    <row r="47" spans="1:10" ht="49.5" hidden="1" x14ac:dyDescent="0.25">
      <c r="A47" s="365"/>
      <c r="B47" s="365"/>
      <c r="C47" s="419">
        <f>VLOOKUP(Tabla1322[[#This Row],[Código INDRA]],Tabla13[[Código Indra]:[ID2]],24,FALSE)</f>
        <v>29</v>
      </c>
      <c r="D47" s="420">
        <v>45610</v>
      </c>
      <c r="E47" s="420" t="s">
        <v>313</v>
      </c>
      <c r="F47" s="439" t="s">
        <v>314</v>
      </c>
      <c r="G47" s="439" t="s">
        <v>1436</v>
      </c>
      <c r="H47" s="422" t="s">
        <v>1632</v>
      </c>
      <c r="I47" s="443" t="s">
        <v>1634</v>
      </c>
      <c r="J47" s="440"/>
    </row>
    <row r="48" spans="1:10" ht="49.5" hidden="1" x14ac:dyDescent="0.25">
      <c r="A48" s="365"/>
      <c r="B48" s="365"/>
      <c r="C48" s="419">
        <f>VLOOKUP(Tabla1322[[#This Row],[Código INDRA]],Tabla13[[Código Indra]:[ID2]],24,FALSE)</f>
        <v>30</v>
      </c>
      <c r="D48" s="420">
        <v>45659</v>
      </c>
      <c r="E48" s="420" t="s">
        <v>138</v>
      </c>
      <c r="F48" s="421" t="s">
        <v>139</v>
      </c>
      <c r="G48" s="420" t="s">
        <v>1436</v>
      </c>
      <c r="H48" s="422" t="s">
        <v>1605</v>
      </c>
      <c r="I48" s="443" t="s">
        <v>1635</v>
      </c>
      <c r="J48" s="440"/>
    </row>
    <row r="49" spans="1:10" ht="82.5" hidden="1" x14ac:dyDescent="0.25">
      <c r="A49" s="365"/>
      <c r="B49" s="365"/>
      <c r="C49" s="419">
        <f>VLOOKUP(Tabla1322[[#This Row],[Código INDRA]],Tabla13[[Código Indra]:[ID2]],24,FALSE)</f>
        <v>30</v>
      </c>
      <c r="D49" s="420">
        <v>45672</v>
      </c>
      <c r="E49" s="420" t="s">
        <v>138</v>
      </c>
      <c r="F49" s="439" t="s">
        <v>139</v>
      </c>
      <c r="G49" s="439" t="s">
        <v>1436</v>
      </c>
      <c r="H49" s="422" t="s">
        <v>1636</v>
      </c>
      <c r="I49" s="443" t="s">
        <v>1635</v>
      </c>
      <c r="J49" s="440"/>
    </row>
    <row r="50" spans="1:10" ht="66" hidden="1" x14ac:dyDescent="0.25">
      <c r="A50" s="365"/>
      <c r="B50" s="365"/>
      <c r="C50" s="419">
        <f>VLOOKUP(Tabla1322[[#This Row],[Código INDRA]],Tabla13[[Código Indra]:[ID2]],24,FALSE)</f>
        <v>31</v>
      </c>
      <c r="D50" s="420">
        <v>45554</v>
      </c>
      <c r="E50" s="420" t="s">
        <v>317</v>
      </c>
      <c r="F50" s="439" t="s">
        <v>318</v>
      </c>
      <c r="G50" s="439" t="s">
        <v>1436</v>
      </c>
      <c r="H50" s="422" t="s">
        <v>1637</v>
      </c>
      <c r="I50" s="443" t="s">
        <v>1638</v>
      </c>
      <c r="J50" s="440"/>
    </row>
    <row r="51" spans="1:10" ht="99" hidden="1" x14ac:dyDescent="0.25">
      <c r="A51" s="365"/>
      <c r="B51" s="365"/>
      <c r="C51" s="419">
        <f>VLOOKUP(Tabla1322[[#This Row],[Código INDRA]],Tabla13[[Código Indra]:[ID2]],24,FALSE)</f>
        <v>33</v>
      </c>
      <c r="D51" s="420">
        <v>45559</v>
      </c>
      <c r="E51" s="420" t="s">
        <v>323</v>
      </c>
      <c r="F51" s="439" t="s">
        <v>1639</v>
      </c>
      <c r="G51" s="439" t="s">
        <v>1436</v>
      </c>
      <c r="H51" s="422" t="s">
        <v>1640</v>
      </c>
      <c r="I51" s="443" t="s">
        <v>1641</v>
      </c>
      <c r="J51" s="440"/>
    </row>
    <row r="52" spans="1:10" ht="49.5" hidden="1" x14ac:dyDescent="0.25">
      <c r="A52" s="365"/>
      <c r="B52" s="365"/>
      <c r="C52" s="419">
        <f>VLOOKUP(Tabla1322[[#This Row],[Código INDRA]],Tabla13[[Código Indra]:[ID2]],24,FALSE)</f>
        <v>34</v>
      </c>
      <c r="D52" s="420">
        <v>45601</v>
      </c>
      <c r="E52" s="420" t="s">
        <v>327</v>
      </c>
      <c r="F52" s="439" t="s">
        <v>328</v>
      </c>
      <c r="G52" s="439" t="s">
        <v>1436</v>
      </c>
      <c r="H52" s="422" t="s">
        <v>1642</v>
      </c>
      <c r="I52" s="443" t="s">
        <v>1643</v>
      </c>
      <c r="J52" s="440"/>
    </row>
    <row r="53" spans="1:10" ht="49.5" hidden="1" x14ac:dyDescent="0.25">
      <c r="A53" s="365"/>
      <c r="B53" s="365"/>
      <c r="C53" s="419">
        <f>VLOOKUP(Tabla1322[[#This Row],[Código INDRA]],Tabla13[[Código Indra]:[ID2]],24,FALSE)</f>
        <v>35</v>
      </c>
      <c r="D53" s="420">
        <v>45601</v>
      </c>
      <c r="E53" s="420" t="s">
        <v>331</v>
      </c>
      <c r="F53" s="439" t="s">
        <v>332</v>
      </c>
      <c r="G53" s="439" t="s">
        <v>1436</v>
      </c>
      <c r="H53" s="422" t="s">
        <v>1644</v>
      </c>
      <c r="I53" s="443" t="s">
        <v>1645</v>
      </c>
      <c r="J53" s="440"/>
    </row>
    <row r="54" spans="1:10" ht="132" hidden="1" x14ac:dyDescent="0.25">
      <c r="A54" s="365"/>
      <c r="B54" s="365"/>
      <c r="C54" s="419">
        <f>VLOOKUP(Tabla1322[[#This Row],[Código INDRA]],Tabla13[[Código Indra]:[ID2]],24,FALSE)</f>
        <v>36</v>
      </c>
      <c r="D54" s="420">
        <v>45554</v>
      </c>
      <c r="E54" s="420" t="s">
        <v>334</v>
      </c>
      <c r="F54" s="439" t="s">
        <v>1646</v>
      </c>
      <c r="G54" s="439" t="s">
        <v>1436</v>
      </c>
      <c r="H54" s="422" t="s">
        <v>1647</v>
      </c>
      <c r="I54" s="443" t="s">
        <v>1648</v>
      </c>
      <c r="J54" s="440"/>
    </row>
    <row r="55" spans="1:10" ht="33" hidden="1" x14ac:dyDescent="0.25">
      <c r="A55" s="365"/>
      <c r="B55" s="365"/>
      <c r="C55" s="419">
        <f>VLOOKUP(Tabla1322[[#This Row],[Código INDRA]],Tabla13[[Código Indra]:[ID2]],24,FALSE)</f>
        <v>37</v>
      </c>
      <c r="D55" s="420">
        <v>45610</v>
      </c>
      <c r="E55" s="420" t="s">
        <v>338</v>
      </c>
      <c r="F55" s="439" t="s">
        <v>1649</v>
      </c>
      <c r="G55" s="439" t="s">
        <v>1436</v>
      </c>
      <c r="H55" s="422" t="s">
        <v>1650</v>
      </c>
      <c r="I55" s="443" t="s">
        <v>1651</v>
      </c>
      <c r="J55" s="440"/>
    </row>
    <row r="56" spans="1:10" ht="49.5" hidden="1" x14ac:dyDescent="0.25">
      <c r="A56" s="365"/>
      <c r="B56" s="365"/>
      <c r="C56" s="419">
        <f>VLOOKUP(Tabla1322[[#This Row],[Código INDRA]],Tabla13[[Código Indra]:[ID2]],24,FALSE)</f>
        <v>38</v>
      </c>
      <c r="D56" s="420">
        <v>45601</v>
      </c>
      <c r="E56" s="420" t="s">
        <v>342</v>
      </c>
      <c r="F56" s="439" t="s">
        <v>343</v>
      </c>
      <c r="G56" s="439" t="s">
        <v>1436</v>
      </c>
      <c r="H56" s="422" t="s">
        <v>1652</v>
      </c>
      <c r="I56" s="443" t="s">
        <v>1653</v>
      </c>
      <c r="J56" s="440"/>
    </row>
    <row r="57" spans="1:10" ht="49.5" hidden="1" x14ac:dyDescent="0.25">
      <c r="A57" s="365"/>
      <c r="B57" s="365"/>
      <c r="C57" s="419">
        <f>VLOOKUP(Tabla1322[[#This Row],[Código INDRA]],Tabla13[[Código Indra]:[ID2]],24,FALSE)</f>
        <v>39</v>
      </c>
      <c r="D57" s="420">
        <v>45590</v>
      </c>
      <c r="E57" s="420" t="s">
        <v>346</v>
      </c>
      <c r="F57" s="439" t="s">
        <v>347</v>
      </c>
      <c r="G57" s="439" t="s">
        <v>1436</v>
      </c>
      <c r="H57" s="422" t="s">
        <v>1654</v>
      </c>
      <c r="I57" s="443" t="s">
        <v>1655</v>
      </c>
      <c r="J57" s="440"/>
    </row>
    <row r="58" spans="1:10" ht="66" hidden="1" x14ac:dyDescent="0.25">
      <c r="A58" s="365"/>
      <c r="B58" s="365"/>
      <c r="C58" s="419">
        <f>VLOOKUP(Tabla1322[[#This Row],[Código INDRA]],Tabla13[[Código Indra]:[ID2]],24,FALSE)</f>
        <v>40</v>
      </c>
      <c r="D58" s="420">
        <v>45559</v>
      </c>
      <c r="E58" s="420" t="s">
        <v>350</v>
      </c>
      <c r="F58" s="439" t="s">
        <v>1656</v>
      </c>
      <c r="G58" s="439" t="s">
        <v>1436</v>
      </c>
      <c r="H58" s="422" t="s">
        <v>1657</v>
      </c>
      <c r="I58" s="443" t="s">
        <v>1658</v>
      </c>
      <c r="J58" s="440"/>
    </row>
    <row r="59" spans="1:10" ht="82.5" hidden="1" x14ac:dyDescent="0.25">
      <c r="A59" s="365"/>
      <c r="B59" s="365"/>
      <c r="C59" s="419">
        <f>VLOOKUP(Tabla1322[[#This Row],[Código INDRA]],Tabla13[[Código Indra]:[ID2]],24,FALSE)</f>
        <v>41</v>
      </c>
      <c r="D59" s="420">
        <v>45566</v>
      </c>
      <c r="E59" s="420" t="s">
        <v>354</v>
      </c>
      <c r="F59" s="439" t="s">
        <v>355</v>
      </c>
      <c r="G59" s="439" t="s">
        <v>1436</v>
      </c>
      <c r="H59" s="422" t="s">
        <v>1659</v>
      </c>
      <c r="I59" s="443" t="s">
        <v>1660</v>
      </c>
      <c r="J59" s="440"/>
    </row>
    <row r="60" spans="1:10" ht="33" x14ac:dyDescent="0.25">
      <c r="A60" s="365"/>
      <c r="B60" s="365"/>
      <c r="C60" s="419">
        <f>VLOOKUP(Tabla1322[[#This Row],[Código INDRA]],Tabla13[[Código Indra]:[ID2]],24,FALSE)</f>
        <v>42</v>
      </c>
      <c r="D60" s="420">
        <v>45635</v>
      </c>
      <c r="E60" s="420" t="s">
        <v>358</v>
      </c>
      <c r="F60" s="421" t="s">
        <v>359</v>
      </c>
      <c r="G60" s="420" t="s">
        <v>1582</v>
      </c>
      <c r="H60" s="422" t="s">
        <v>1661</v>
      </c>
      <c r="I60" s="443"/>
      <c r="J60" s="440"/>
    </row>
    <row r="61" spans="1:10" ht="33" hidden="1" x14ac:dyDescent="0.25">
      <c r="A61" s="365"/>
      <c r="B61" s="365"/>
      <c r="C61" s="419">
        <f>VLOOKUP(Tabla1322[[#This Row],[Código INDRA]],Tabla13[[Código Indra]:[ID2]],24,FALSE)</f>
        <v>43</v>
      </c>
      <c r="D61" s="420">
        <v>45630</v>
      </c>
      <c r="E61" s="420" t="s">
        <v>362</v>
      </c>
      <c r="F61" s="439" t="s">
        <v>363</v>
      </c>
      <c r="G61" s="439" t="s">
        <v>1436</v>
      </c>
      <c r="H61" s="422" t="s">
        <v>1662</v>
      </c>
      <c r="I61" s="443" t="s">
        <v>1663</v>
      </c>
      <c r="J61" s="440"/>
    </row>
    <row r="62" spans="1:10" ht="49.5" hidden="1" x14ac:dyDescent="0.25">
      <c r="A62" s="365"/>
      <c r="B62" s="365"/>
      <c r="C62" s="419">
        <f>VLOOKUP(Tabla1322[[#This Row],[Código INDRA]],Tabla13[[Código Indra]:[ID2]],24,FALSE)</f>
        <v>44</v>
      </c>
      <c r="D62" s="420">
        <v>45589</v>
      </c>
      <c r="E62" s="420" t="s">
        <v>366</v>
      </c>
      <c r="F62" s="439" t="s">
        <v>367</v>
      </c>
      <c r="G62" s="439" t="s">
        <v>1436</v>
      </c>
      <c r="H62" s="422" t="s">
        <v>1664</v>
      </c>
      <c r="I62" s="443" t="s">
        <v>1665</v>
      </c>
      <c r="J62" s="440"/>
    </row>
    <row r="63" spans="1:10" ht="33" hidden="1" x14ac:dyDescent="0.25">
      <c r="A63" s="365"/>
      <c r="B63" s="365"/>
      <c r="C63" s="419">
        <f>VLOOKUP(Tabla1322[[#This Row],[Código INDRA]],Tabla13[[Código Indra]:[ID2]],24,FALSE)</f>
        <v>45</v>
      </c>
      <c r="D63" s="420">
        <v>45589</v>
      </c>
      <c r="E63" s="420" t="s">
        <v>370</v>
      </c>
      <c r="F63" s="439" t="s">
        <v>371</v>
      </c>
      <c r="G63" s="439" t="s">
        <v>1436</v>
      </c>
      <c r="H63" s="422" t="s">
        <v>1666</v>
      </c>
      <c r="I63" s="443" t="s">
        <v>1667</v>
      </c>
      <c r="J63" s="440"/>
    </row>
    <row r="64" spans="1:10" ht="33" hidden="1" x14ac:dyDescent="0.25">
      <c r="A64" s="365"/>
      <c r="B64" s="365"/>
      <c r="C64" s="419">
        <f>VLOOKUP(Tabla1322[[#This Row],[Código INDRA]],Tabla13[[Código Indra]:[ID2]],24,FALSE)</f>
        <v>46</v>
      </c>
      <c r="D64" s="420">
        <v>45610</v>
      </c>
      <c r="E64" s="420" t="s">
        <v>374</v>
      </c>
      <c r="F64" s="439" t="s">
        <v>375</v>
      </c>
      <c r="G64" s="439" t="s">
        <v>1436</v>
      </c>
      <c r="H64" s="422" t="s">
        <v>1668</v>
      </c>
      <c r="I64" s="443" t="s">
        <v>1669</v>
      </c>
      <c r="J64" s="440"/>
    </row>
    <row r="65" spans="1:10" ht="66" hidden="1" x14ac:dyDescent="0.25">
      <c r="A65" s="365"/>
      <c r="B65" s="365"/>
      <c r="C65" s="419">
        <f>VLOOKUP(Tabla1322[[#This Row],[Código INDRA]],Tabla13[[Código Indra]:[ID2]],24,FALSE)</f>
        <v>47</v>
      </c>
      <c r="D65" s="420">
        <v>45601</v>
      </c>
      <c r="E65" s="420" t="s">
        <v>378</v>
      </c>
      <c r="F65" s="439" t="s">
        <v>1670</v>
      </c>
      <c r="G65" s="439" t="s">
        <v>1436</v>
      </c>
      <c r="H65" s="422" t="s">
        <v>1671</v>
      </c>
      <c r="I65" s="443" t="s">
        <v>1672</v>
      </c>
      <c r="J65" s="440"/>
    </row>
    <row r="66" spans="1:10" ht="33" hidden="1" x14ac:dyDescent="0.25">
      <c r="A66" s="365"/>
      <c r="B66" s="365"/>
      <c r="C66" s="419">
        <f>VLOOKUP(Tabla1322[[#This Row],[Código INDRA]],Tabla13[[Código Indra]:[ID2]],24,FALSE)</f>
        <v>48</v>
      </c>
      <c r="D66" s="420">
        <v>45610</v>
      </c>
      <c r="E66" s="420" t="s">
        <v>381</v>
      </c>
      <c r="F66" s="439" t="s">
        <v>1673</v>
      </c>
      <c r="G66" s="439" t="s">
        <v>1436</v>
      </c>
      <c r="H66" s="422" t="s">
        <v>1674</v>
      </c>
      <c r="I66" s="443" t="s">
        <v>1675</v>
      </c>
      <c r="J66" s="440"/>
    </row>
    <row r="67" spans="1:10" ht="33" hidden="1" x14ac:dyDescent="0.25">
      <c r="A67" s="365"/>
      <c r="B67" s="365"/>
      <c r="C67" s="419">
        <f>VLOOKUP(Tabla1322[[#This Row],[Código INDRA]],Tabla13[[Código Indra]:[ID2]],24,FALSE)</f>
        <v>49</v>
      </c>
      <c r="D67" s="420">
        <v>45566</v>
      </c>
      <c r="E67" s="420" t="s">
        <v>694</v>
      </c>
      <c r="F67" s="439" t="s">
        <v>1676</v>
      </c>
      <c r="G67" s="439" t="s">
        <v>1436</v>
      </c>
      <c r="H67" s="422" t="s">
        <v>1677</v>
      </c>
      <c r="I67" s="443" t="s">
        <v>1678</v>
      </c>
      <c r="J67" s="440"/>
    </row>
    <row r="68" spans="1:10" ht="33" hidden="1" x14ac:dyDescent="0.25">
      <c r="A68" s="365"/>
      <c r="B68" s="365"/>
      <c r="C68" s="419">
        <f>VLOOKUP(Tabla1322[[#This Row],[Código INDRA]],Tabla13[[Código Indra]:[ID2]],24,FALSE)</f>
        <v>50</v>
      </c>
      <c r="D68" s="420">
        <v>45566</v>
      </c>
      <c r="E68" s="420" t="s">
        <v>698</v>
      </c>
      <c r="F68" s="439" t="s">
        <v>1679</v>
      </c>
      <c r="G68" s="439" t="s">
        <v>1436</v>
      </c>
      <c r="H68" s="422" t="s">
        <v>1677</v>
      </c>
      <c r="I68" s="443" t="s">
        <v>1678</v>
      </c>
      <c r="J68" s="440"/>
    </row>
    <row r="69" spans="1:10" ht="115.5" hidden="1" x14ac:dyDescent="0.25">
      <c r="A69" s="365"/>
      <c r="B69" s="365"/>
      <c r="C69" s="419">
        <f>VLOOKUP(Tabla1322[[#This Row],[Código INDRA]],Tabla13[[Código Indra]:[ID2]],24,FALSE)</f>
        <v>51</v>
      </c>
      <c r="D69" s="420">
        <v>45692</v>
      </c>
      <c r="E69" s="420" t="s">
        <v>607</v>
      </c>
      <c r="F69" s="439" t="s">
        <v>608</v>
      </c>
      <c r="G69" s="439" t="s">
        <v>1436</v>
      </c>
      <c r="H69" s="422" t="s">
        <v>1680</v>
      </c>
      <c r="I69" s="443" t="s">
        <v>1681</v>
      </c>
      <c r="J69" s="440"/>
    </row>
    <row r="70" spans="1:10" ht="33" x14ac:dyDescent="0.25">
      <c r="A70" s="365"/>
      <c r="B70" s="365"/>
      <c r="C70" s="419">
        <f>VLOOKUP(Tabla1322[[#This Row],[Código INDRA]],Tabla13[[Código Indra]:[ID2]],24,FALSE)</f>
        <v>52</v>
      </c>
      <c r="D70" s="420">
        <v>45659</v>
      </c>
      <c r="E70" s="420" t="s">
        <v>704</v>
      </c>
      <c r="F70" s="421" t="s">
        <v>705</v>
      </c>
      <c r="G70" s="420" t="s">
        <v>1582</v>
      </c>
      <c r="H70" s="422" t="s">
        <v>1682</v>
      </c>
      <c r="I70" s="443" t="s">
        <v>1683</v>
      </c>
      <c r="J70" s="440"/>
    </row>
    <row r="71" spans="1:10" ht="33" hidden="1" x14ac:dyDescent="0.25">
      <c r="A71" s="365"/>
      <c r="B71" s="365"/>
      <c r="C71" s="419">
        <f>VLOOKUP(Tabla1322[[#This Row],[Código INDRA]],Tabla13[[Código Indra]:[ID2]],24,FALSE)</f>
        <v>52</v>
      </c>
      <c r="D71" s="420">
        <v>45587</v>
      </c>
      <c r="E71" s="420" t="s">
        <v>704</v>
      </c>
      <c r="F71" s="439" t="s">
        <v>705</v>
      </c>
      <c r="G71" s="439" t="s">
        <v>1436</v>
      </c>
      <c r="H71" s="422" t="s">
        <v>1684</v>
      </c>
      <c r="I71" s="443" t="s">
        <v>1683</v>
      </c>
      <c r="J71" s="440"/>
    </row>
    <row r="72" spans="1:10" ht="115.5" hidden="1" x14ac:dyDescent="0.25">
      <c r="A72" s="365"/>
      <c r="B72" s="365"/>
      <c r="C72" s="419">
        <f>VLOOKUP(Tabla1322[[#This Row],[Código INDRA]],Tabla13[[Código Indra]:[ID2]],24,FALSE)</f>
        <v>53</v>
      </c>
      <c r="D72" s="420">
        <v>45573</v>
      </c>
      <c r="E72" s="420" t="s">
        <v>385</v>
      </c>
      <c r="F72" s="439" t="s">
        <v>386</v>
      </c>
      <c r="G72" s="439" t="s">
        <v>1436</v>
      </c>
      <c r="H72" s="422" t="s">
        <v>1685</v>
      </c>
      <c r="I72" s="443" t="s">
        <v>1686</v>
      </c>
      <c r="J72" s="440"/>
    </row>
    <row r="73" spans="1:10" ht="33" x14ac:dyDescent="0.25">
      <c r="A73" s="365"/>
      <c r="B73" s="365"/>
      <c r="C73" s="419">
        <f>VLOOKUP(Tabla1322[[#This Row],[Código INDRA]],Tabla13[[Código Indra]:[ID2]],24,FALSE)</f>
        <v>54</v>
      </c>
      <c r="D73" s="420">
        <v>45659</v>
      </c>
      <c r="E73" s="420" t="s">
        <v>141</v>
      </c>
      <c r="F73" s="421" t="s">
        <v>1687</v>
      </c>
      <c r="G73" s="420" t="s">
        <v>1582</v>
      </c>
      <c r="H73" s="422" t="s">
        <v>1688</v>
      </c>
      <c r="I73" s="443" t="s">
        <v>1689</v>
      </c>
      <c r="J73" s="440"/>
    </row>
    <row r="74" spans="1:10" ht="33" x14ac:dyDescent="0.25">
      <c r="A74" s="365"/>
      <c r="B74" s="365"/>
      <c r="C74" s="419">
        <f>VLOOKUP(Tabla1322[[#This Row],[Código INDRA]],Tabla13[[Código Indra]:[ID2]],24,FALSE)</f>
        <v>55</v>
      </c>
      <c r="D74" s="420">
        <v>45635</v>
      </c>
      <c r="E74" s="420" t="s">
        <v>389</v>
      </c>
      <c r="F74" s="421" t="s">
        <v>1690</v>
      </c>
      <c r="G74" s="420" t="s">
        <v>1582</v>
      </c>
      <c r="H74" s="422" t="s">
        <v>1691</v>
      </c>
      <c r="I74" s="443" t="s">
        <v>1692</v>
      </c>
      <c r="J74" s="440"/>
    </row>
    <row r="75" spans="1:10" ht="33" x14ac:dyDescent="0.25">
      <c r="A75" s="365"/>
      <c r="B75" s="365"/>
      <c r="C75" s="419">
        <f>VLOOKUP(Tabla1322[[#This Row],[Código INDRA]],Tabla13[[Código Indra]:[ID2]],24,FALSE)</f>
        <v>56</v>
      </c>
      <c r="D75" s="420">
        <v>45635</v>
      </c>
      <c r="E75" s="420" t="s">
        <v>392</v>
      </c>
      <c r="F75" s="421" t="s">
        <v>1693</v>
      </c>
      <c r="G75" s="420" t="s">
        <v>1582</v>
      </c>
      <c r="H75" s="422" t="s">
        <v>1691</v>
      </c>
      <c r="I75" s="443" t="s">
        <v>1692</v>
      </c>
      <c r="J75" s="440"/>
    </row>
    <row r="76" spans="1:10" ht="33" x14ac:dyDescent="0.25">
      <c r="A76" s="365"/>
      <c r="B76" s="365"/>
      <c r="C76" s="419">
        <f>VLOOKUP(Tabla1322[[#This Row],[Código INDRA]],Tabla13[[Código Indra]:[ID2]],24,FALSE)</f>
        <v>57</v>
      </c>
      <c r="D76" s="420">
        <v>45635</v>
      </c>
      <c r="E76" s="420" t="s">
        <v>396</v>
      </c>
      <c r="F76" s="421" t="s">
        <v>1694</v>
      </c>
      <c r="G76" s="424" t="s">
        <v>1582</v>
      </c>
      <c r="H76" s="422" t="s">
        <v>1691</v>
      </c>
      <c r="I76" s="443" t="s">
        <v>1692</v>
      </c>
      <c r="J76" s="440"/>
    </row>
    <row r="77" spans="1:10" ht="33" x14ac:dyDescent="0.25">
      <c r="A77" s="365"/>
      <c r="B77" s="365"/>
      <c r="C77" s="419">
        <f>VLOOKUP(Tabla1322[[#This Row],[Código INDRA]],Tabla13[[Código Indra]:[ID2]],24,FALSE)</f>
        <v>58</v>
      </c>
      <c r="D77" s="420">
        <v>45635</v>
      </c>
      <c r="E77" s="420" t="s">
        <v>399</v>
      </c>
      <c r="F77" s="421" t="s">
        <v>1695</v>
      </c>
      <c r="G77" s="424" t="s">
        <v>1582</v>
      </c>
      <c r="H77" s="422" t="s">
        <v>1696</v>
      </c>
      <c r="I77" s="443" t="s">
        <v>1692</v>
      </c>
      <c r="J77" s="440"/>
    </row>
    <row r="78" spans="1:10" ht="33" x14ac:dyDescent="0.25">
      <c r="A78" s="365"/>
      <c r="B78" s="365"/>
      <c r="C78" s="419">
        <f>VLOOKUP(Tabla1322[[#This Row],[Código INDRA]],Tabla13[[Código Indra]:[ID2]],24,FALSE)</f>
        <v>59</v>
      </c>
      <c r="D78" s="420">
        <v>45635</v>
      </c>
      <c r="E78" s="420" t="s">
        <v>403</v>
      </c>
      <c r="F78" s="421" t="s">
        <v>1697</v>
      </c>
      <c r="G78" s="424" t="s">
        <v>1582</v>
      </c>
      <c r="H78" s="422" t="s">
        <v>1691</v>
      </c>
      <c r="I78" s="443" t="s">
        <v>1692</v>
      </c>
      <c r="J78" s="440"/>
    </row>
    <row r="79" spans="1:10" ht="33" hidden="1" x14ac:dyDescent="0.25">
      <c r="A79" s="365"/>
      <c r="B79" s="365"/>
      <c r="C79" s="419">
        <f>VLOOKUP(Tabla1322[[#This Row],[Código INDRA]],Tabla13[[Código Indra]:[ID2]],24,FALSE)</f>
        <v>60</v>
      </c>
      <c r="D79" s="420"/>
      <c r="E79" s="420" t="s">
        <v>407</v>
      </c>
      <c r="F79" s="439" t="s">
        <v>408</v>
      </c>
      <c r="G79" s="426" t="s">
        <v>1436</v>
      </c>
      <c r="H79" s="422" t="s">
        <v>1698</v>
      </c>
      <c r="I79" s="443" t="s">
        <v>1699</v>
      </c>
      <c r="J79" s="440"/>
    </row>
    <row r="80" spans="1:10" ht="82.5" hidden="1" x14ac:dyDescent="0.25">
      <c r="A80" s="365"/>
      <c r="B80" s="365"/>
      <c r="C80" s="419">
        <f>VLOOKUP(Tabla1322[[#This Row],[Código INDRA]],Tabla13[[Código Indra]:[ID2]],24,FALSE)</f>
        <v>61</v>
      </c>
      <c r="D80" s="420">
        <v>45692</v>
      </c>
      <c r="E80" s="420" t="s">
        <v>410</v>
      </c>
      <c r="F80" s="439" t="s">
        <v>411</v>
      </c>
      <c r="G80" s="426" t="s">
        <v>1436</v>
      </c>
      <c r="H80" s="422" t="s">
        <v>1700</v>
      </c>
      <c r="I80" s="443" t="s">
        <v>1701</v>
      </c>
      <c r="J80" s="440"/>
    </row>
    <row r="81" spans="1:10" ht="82.5" hidden="1" x14ac:dyDescent="0.25">
      <c r="A81" s="365"/>
      <c r="B81" s="365"/>
      <c r="C81" s="419">
        <f>VLOOKUP(Tabla1322[[#This Row],[Código INDRA]],Tabla13[[Código Indra]:[ID2]],24,FALSE)</f>
        <v>62</v>
      </c>
      <c r="D81" s="420">
        <v>45692</v>
      </c>
      <c r="E81" s="420" t="s">
        <v>414</v>
      </c>
      <c r="F81" s="439" t="s">
        <v>415</v>
      </c>
      <c r="G81" s="426" t="s">
        <v>1436</v>
      </c>
      <c r="H81" s="422" t="s">
        <v>1700</v>
      </c>
      <c r="I81" s="443" t="s">
        <v>1701</v>
      </c>
      <c r="J81" s="440"/>
    </row>
    <row r="82" spans="1:10" ht="33" hidden="1" x14ac:dyDescent="0.25">
      <c r="A82" s="365"/>
      <c r="B82" s="365"/>
      <c r="C82" s="419">
        <f>VLOOKUP(Tabla1322[[#This Row],[Código INDRA]],Tabla13[[Código Indra]:[ID2]],24,FALSE)</f>
        <v>63</v>
      </c>
      <c r="D82" s="420">
        <v>45691</v>
      </c>
      <c r="E82" s="420" t="s">
        <v>144</v>
      </c>
      <c r="F82" s="439" t="s">
        <v>145</v>
      </c>
      <c r="G82" s="426" t="s">
        <v>1436</v>
      </c>
      <c r="H82" s="422" t="s">
        <v>1702</v>
      </c>
      <c r="I82" s="443" t="s">
        <v>1703</v>
      </c>
      <c r="J82" s="440"/>
    </row>
    <row r="83" spans="1:10" ht="247.5" hidden="1" x14ac:dyDescent="0.25">
      <c r="A83" s="365"/>
      <c r="B83" s="365"/>
      <c r="C83" s="419">
        <f>VLOOKUP(Tabla1322[[#This Row],[Código INDRA]],Tabla13[[Código Indra]:[ID2]],24,FALSE)</f>
        <v>65</v>
      </c>
      <c r="D83" s="420">
        <v>45692</v>
      </c>
      <c r="E83" s="420" t="s">
        <v>100</v>
      </c>
      <c r="F83" s="439" t="s">
        <v>101</v>
      </c>
      <c r="G83" s="426" t="s">
        <v>1436</v>
      </c>
      <c r="H83" s="422" t="s">
        <v>1704</v>
      </c>
      <c r="I83" s="443" t="s">
        <v>1705</v>
      </c>
      <c r="J83" s="440"/>
    </row>
    <row r="84" spans="1:10" ht="214.5" hidden="1" x14ac:dyDescent="0.25">
      <c r="A84" s="365"/>
      <c r="B84" s="365"/>
      <c r="C84" s="419">
        <f>VLOOKUP(Tabla1322[[#This Row],[Código INDRA]],Tabla13[[Código Indra]:[ID2]],24,FALSE)</f>
        <v>66</v>
      </c>
      <c r="D84" s="420">
        <v>45692</v>
      </c>
      <c r="E84" s="420" t="s">
        <v>103</v>
      </c>
      <c r="F84" s="439" t="s">
        <v>104</v>
      </c>
      <c r="G84" s="426" t="s">
        <v>1436</v>
      </c>
      <c r="H84" s="422" t="s">
        <v>1706</v>
      </c>
      <c r="I84" s="443" t="s">
        <v>1707</v>
      </c>
      <c r="J84" s="440"/>
    </row>
    <row r="85" spans="1:10" ht="132" x14ac:dyDescent="0.25">
      <c r="A85" s="365"/>
      <c r="B85" s="365"/>
      <c r="C85" s="419">
        <f>VLOOKUP(Tabla1322[[#This Row],[Código INDRA]],Tabla13[[Código Indra]:[ID2]],24,FALSE)</f>
        <v>69</v>
      </c>
      <c r="D85" s="420">
        <v>45659</v>
      </c>
      <c r="E85" s="420" t="s">
        <v>25</v>
      </c>
      <c r="F85" s="421" t="s">
        <v>26</v>
      </c>
      <c r="G85" s="424" t="s">
        <v>1582</v>
      </c>
      <c r="H85" s="422" t="s">
        <v>1708</v>
      </c>
      <c r="I85" s="443"/>
      <c r="J85" s="440"/>
    </row>
    <row r="86" spans="1:10" ht="33" hidden="1" x14ac:dyDescent="0.25">
      <c r="A86" s="365"/>
      <c r="B86" s="365"/>
      <c r="C86" s="419">
        <f>VLOOKUP(Tabla1322[[#This Row],[Código INDRA]],Tabla13[[Código Indra]:[ID2]],24,FALSE)</f>
        <v>69</v>
      </c>
      <c r="D86" s="420">
        <v>45672</v>
      </c>
      <c r="E86" s="420" t="s">
        <v>25</v>
      </c>
      <c r="F86" s="439" t="s">
        <v>26</v>
      </c>
      <c r="G86" s="426" t="s">
        <v>1436</v>
      </c>
      <c r="H86" s="422" t="s">
        <v>1709</v>
      </c>
      <c r="I86" s="443"/>
      <c r="J86" s="440"/>
    </row>
    <row r="87" spans="1:10" ht="49.5" hidden="1" x14ac:dyDescent="0.25">
      <c r="A87" s="365"/>
      <c r="B87" s="365"/>
      <c r="C87" s="419">
        <f>VLOOKUP(Tabla1322[[#This Row],[Código INDRA]],Tabla13[[Código Indra]:[ID2]],24,FALSE)</f>
        <v>69</v>
      </c>
      <c r="D87" s="420">
        <v>45672</v>
      </c>
      <c r="E87" s="420" t="s">
        <v>25</v>
      </c>
      <c r="F87" s="439" t="s">
        <v>26</v>
      </c>
      <c r="G87" s="426" t="s">
        <v>1436</v>
      </c>
      <c r="H87" s="422" t="s">
        <v>1710</v>
      </c>
      <c r="I87" s="443"/>
      <c r="J87" s="440"/>
    </row>
    <row r="88" spans="1:10" ht="33" hidden="1" x14ac:dyDescent="0.25">
      <c r="A88" s="365"/>
      <c r="B88" s="365"/>
      <c r="C88" s="419">
        <f>VLOOKUP(Tabla1322[[#This Row],[Código INDRA]],Tabla13[[Código Indra]:[ID2]],24,FALSE)</f>
        <v>69</v>
      </c>
      <c r="D88" s="420">
        <v>45672</v>
      </c>
      <c r="E88" s="420" t="s">
        <v>25</v>
      </c>
      <c r="F88" s="439" t="s">
        <v>26</v>
      </c>
      <c r="G88" s="426" t="s">
        <v>1436</v>
      </c>
      <c r="H88" s="422" t="s">
        <v>1711</v>
      </c>
      <c r="I88" s="443"/>
      <c r="J88" s="440"/>
    </row>
    <row r="89" spans="1:10" ht="99" hidden="1" x14ac:dyDescent="0.25">
      <c r="A89" s="365"/>
      <c r="B89" s="365"/>
      <c r="C89" s="419">
        <f>VLOOKUP(Tabla1322[[#This Row],[Código INDRA]],Tabla13[[Código Indra]:[ID2]],24,FALSE)</f>
        <v>69</v>
      </c>
      <c r="D89" s="420">
        <v>45672</v>
      </c>
      <c r="E89" s="420" t="s">
        <v>25</v>
      </c>
      <c r="F89" s="439" t="s">
        <v>26</v>
      </c>
      <c r="G89" s="426" t="s">
        <v>1436</v>
      </c>
      <c r="H89" s="422" t="s">
        <v>1712</v>
      </c>
      <c r="I89" s="443" t="s">
        <v>1713</v>
      </c>
      <c r="J89" s="440"/>
    </row>
    <row r="90" spans="1:10" ht="49.5" hidden="1" x14ac:dyDescent="0.25">
      <c r="A90" s="365"/>
      <c r="B90" s="365"/>
      <c r="C90" s="419">
        <f>VLOOKUP(Tabla1322[[#This Row],[Código INDRA]],Tabla13[[Código Indra]:[ID2]],24,FALSE)</f>
        <v>70</v>
      </c>
      <c r="D90" s="420">
        <v>45593</v>
      </c>
      <c r="E90" s="420" t="s">
        <v>417</v>
      </c>
      <c r="F90" s="439" t="s">
        <v>418</v>
      </c>
      <c r="G90" s="426" t="s">
        <v>1436</v>
      </c>
      <c r="H90" s="422" t="s">
        <v>1714</v>
      </c>
      <c r="I90" s="443" t="s">
        <v>1715</v>
      </c>
      <c r="J90" s="440"/>
    </row>
    <row r="91" spans="1:10" ht="33" hidden="1" x14ac:dyDescent="0.25">
      <c r="A91" s="365"/>
      <c r="B91" s="365"/>
      <c r="C91" s="419">
        <f>VLOOKUP(Tabla1322[[#This Row],[Código INDRA]],Tabla13[[Código Indra]:[ID2]],24,FALSE)</f>
        <v>71</v>
      </c>
      <c r="D91" s="420">
        <v>45630</v>
      </c>
      <c r="E91" s="420" t="s">
        <v>421</v>
      </c>
      <c r="F91" s="439" t="s">
        <v>1716</v>
      </c>
      <c r="G91" s="426" t="s">
        <v>1436</v>
      </c>
      <c r="H91" s="422" t="s">
        <v>1717</v>
      </c>
      <c r="I91" s="443" t="s">
        <v>1718</v>
      </c>
      <c r="J91" s="440"/>
    </row>
    <row r="92" spans="1:10" ht="16.5" hidden="1" x14ac:dyDescent="0.25">
      <c r="A92" s="365"/>
      <c r="B92" s="365"/>
      <c r="C92" s="419">
        <f>VLOOKUP(Tabla1322[[#This Row],[Código INDRA]],Tabla13[[Código Indra]:[ID2]],24,FALSE)</f>
        <v>72</v>
      </c>
      <c r="D92" s="420">
        <v>45610</v>
      </c>
      <c r="E92" s="420" t="s">
        <v>967</v>
      </c>
      <c r="F92" s="439" t="s">
        <v>1719</v>
      </c>
      <c r="G92" s="426" t="s">
        <v>1436</v>
      </c>
      <c r="H92" s="422" t="s">
        <v>1720</v>
      </c>
      <c r="I92" s="443" t="s">
        <v>1721</v>
      </c>
      <c r="J92" s="440"/>
    </row>
    <row r="93" spans="1:10" ht="33" hidden="1" x14ac:dyDescent="0.25">
      <c r="A93" s="365"/>
      <c r="B93" s="365"/>
      <c r="C93" s="419">
        <f>VLOOKUP(Tabla1322[[#This Row],[Código INDRA]],Tabla13[[Código Indra]:[ID2]],24,FALSE)</f>
        <v>74</v>
      </c>
      <c r="D93" s="420"/>
      <c r="E93" s="420" t="s">
        <v>611</v>
      </c>
      <c r="F93" s="439" t="s">
        <v>612</v>
      </c>
      <c r="G93" s="426" t="s">
        <v>1436</v>
      </c>
      <c r="H93" s="422" t="s">
        <v>1722</v>
      </c>
      <c r="I93" s="443" t="s">
        <v>1723</v>
      </c>
      <c r="J93" s="440"/>
    </row>
    <row r="94" spans="1:10" ht="66" hidden="1" x14ac:dyDescent="0.25">
      <c r="A94" s="365"/>
      <c r="B94" s="365"/>
      <c r="C94" s="419">
        <f>VLOOKUP(Tabla1322[[#This Row],[Código INDRA]],Tabla13[[Código Indra]:[ID2]],24,FALSE)</f>
        <v>75</v>
      </c>
      <c r="D94" s="420">
        <v>45614</v>
      </c>
      <c r="E94" s="420" t="s">
        <v>425</v>
      </c>
      <c r="F94" s="439" t="s">
        <v>426</v>
      </c>
      <c r="G94" s="426" t="s">
        <v>1436</v>
      </c>
      <c r="H94" s="422" t="s">
        <v>1724</v>
      </c>
      <c r="I94" s="443" t="s">
        <v>1725</v>
      </c>
      <c r="J94" s="440"/>
    </row>
    <row r="95" spans="1:10" ht="16.5" hidden="1" x14ac:dyDescent="0.25">
      <c r="A95" s="365"/>
      <c r="B95" s="365"/>
      <c r="C95" s="419">
        <f>VLOOKUP(Tabla1322[[#This Row],[Código INDRA]],Tabla13[[Código Indra]:[ID2]],24,FALSE)</f>
        <v>76</v>
      </c>
      <c r="D95" s="420">
        <v>45610</v>
      </c>
      <c r="E95" s="420" t="s">
        <v>970</v>
      </c>
      <c r="F95" s="439" t="s">
        <v>971</v>
      </c>
      <c r="G95" s="426" t="s">
        <v>1436</v>
      </c>
      <c r="H95" s="422" t="s">
        <v>1720</v>
      </c>
      <c r="I95" s="443" t="s">
        <v>1721</v>
      </c>
      <c r="J95" s="440"/>
    </row>
    <row r="96" spans="1:10" ht="16.5" hidden="1" x14ac:dyDescent="0.25">
      <c r="C96" s="423">
        <f>VLOOKUP(Tabla1322[[#This Row],[Código INDRA]],Tabla13[[Código Indra]:[ID2]],24,FALSE)</f>
        <v>77</v>
      </c>
      <c r="D96" s="424">
        <v>45610</v>
      </c>
      <c r="E96" s="428" t="s">
        <v>976</v>
      </c>
      <c r="F96" s="426" t="s">
        <v>977</v>
      </c>
      <c r="G96" s="426" t="s">
        <v>1436</v>
      </c>
      <c r="H96" s="426" t="s">
        <v>1720</v>
      </c>
      <c r="I96" s="443" t="s">
        <v>1721</v>
      </c>
    </row>
    <row r="97" spans="3:9" ht="49.5" hidden="1" x14ac:dyDescent="0.25">
      <c r="C97" s="423">
        <f>VLOOKUP(Tabla1322[[#This Row],[Código INDRA]],Tabla13[[Código Indra]:[ID2]],24,FALSE)</f>
        <v>78</v>
      </c>
      <c r="D97" s="424">
        <v>45672</v>
      </c>
      <c r="E97" s="428" t="s">
        <v>430</v>
      </c>
      <c r="F97" s="426" t="s">
        <v>431</v>
      </c>
      <c r="G97" s="426" t="s">
        <v>1436</v>
      </c>
      <c r="H97" s="426" t="s">
        <v>1726</v>
      </c>
      <c r="I97" s="443" t="s">
        <v>1721</v>
      </c>
    </row>
    <row r="98" spans="3:9" ht="82.5" hidden="1" x14ac:dyDescent="0.25">
      <c r="C98" s="427">
        <f>VLOOKUP(Tabla1322[[#This Row],[Código INDRA]],Tabla13[[Código Indra]:[ID2]],24,FALSE)</f>
        <v>80</v>
      </c>
      <c r="D98" s="424">
        <v>45659</v>
      </c>
      <c r="E98" s="428" t="s">
        <v>56</v>
      </c>
      <c r="F98" s="452" t="s">
        <v>57</v>
      </c>
      <c r="G98" s="424"/>
      <c r="H98" s="426" t="s">
        <v>1727</v>
      </c>
      <c r="I98" s="443" t="s">
        <v>1728</v>
      </c>
    </row>
    <row r="99" spans="3:9" ht="379.5" hidden="1" x14ac:dyDescent="0.25">
      <c r="C99" s="427">
        <f>VLOOKUP(Tabla1322[[#This Row],[Código INDRA]],Tabla13[[Código Indra]:[ID2]],24,FALSE)</f>
        <v>80</v>
      </c>
      <c r="D99" s="424">
        <v>45672</v>
      </c>
      <c r="E99" s="428" t="s">
        <v>56</v>
      </c>
      <c r="F99" s="426" t="s">
        <v>57</v>
      </c>
      <c r="G99" s="426" t="s">
        <v>1436</v>
      </c>
      <c r="H99" s="426" t="s">
        <v>1729</v>
      </c>
      <c r="I99" s="443" t="s">
        <v>1728</v>
      </c>
    </row>
    <row r="100" spans="3:9" ht="33" hidden="1" x14ac:dyDescent="0.25">
      <c r="C100" s="423">
        <f>VLOOKUP(Tabla1322[[#This Row],[Código INDRA]],Tabla13[[Código Indra]:[ID2]],24,FALSE)</f>
        <v>81</v>
      </c>
      <c r="D100" s="424">
        <v>45630</v>
      </c>
      <c r="E100" s="428" t="s">
        <v>1267</v>
      </c>
      <c r="F100" s="426" t="s">
        <v>1268</v>
      </c>
      <c r="G100" s="426" t="s">
        <v>1436</v>
      </c>
      <c r="H100" s="426" t="s">
        <v>1730</v>
      </c>
      <c r="I100" s="443" t="s">
        <v>1721</v>
      </c>
    </row>
    <row r="101" spans="3:9" ht="33" hidden="1" x14ac:dyDescent="0.25">
      <c r="C101" s="427">
        <f>VLOOKUP(Tabla1322[[#This Row],[Código INDRA]],Tabla13[[Código Indra]:[ID2]],24,FALSE)</f>
        <v>82</v>
      </c>
      <c r="D101" s="424">
        <v>45630</v>
      </c>
      <c r="E101" s="428" t="s">
        <v>1272</v>
      </c>
      <c r="F101" s="426" t="s">
        <v>1273</v>
      </c>
      <c r="G101" s="426" t="s">
        <v>1436</v>
      </c>
      <c r="H101" s="426" t="s">
        <v>1730</v>
      </c>
      <c r="I101" s="443" t="s">
        <v>1721</v>
      </c>
    </row>
    <row r="102" spans="3:9" ht="33" hidden="1" x14ac:dyDescent="0.25">
      <c r="C102" s="423">
        <f>VLOOKUP(Tabla1322[[#This Row],[Código INDRA]],Tabla13[[Código Indra]:[ID2]],24,FALSE)</f>
        <v>83</v>
      </c>
      <c r="D102" s="424">
        <v>45630</v>
      </c>
      <c r="E102" s="428" t="s">
        <v>1275</v>
      </c>
      <c r="F102" s="426" t="s">
        <v>1276</v>
      </c>
      <c r="G102" s="426" t="s">
        <v>1436</v>
      </c>
      <c r="H102" s="426" t="s">
        <v>1730</v>
      </c>
      <c r="I102" s="443" t="s">
        <v>1721</v>
      </c>
    </row>
    <row r="103" spans="3:9" ht="66" hidden="1" x14ac:dyDescent="0.25">
      <c r="C103" s="423">
        <f>VLOOKUP(Tabla1322[[#This Row],[Código INDRA]],Tabla13[[Código Indra]:[ID2]],24,FALSE)</f>
        <v>84</v>
      </c>
      <c r="D103" s="424">
        <v>45679</v>
      </c>
      <c r="E103" s="428" t="s">
        <v>1278</v>
      </c>
      <c r="F103" s="426" t="s">
        <v>1279</v>
      </c>
      <c r="G103" s="426" t="s">
        <v>1436</v>
      </c>
      <c r="H103" s="426" t="s">
        <v>1731</v>
      </c>
      <c r="I103" s="443" t="s">
        <v>1721</v>
      </c>
    </row>
    <row r="104" spans="3:9" ht="99" hidden="1" x14ac:dyDescent="0.25">
      <c r="C104" s="423">
        <f>VLOOKUP(Tabla1322[[#This Row],[Código INDRA]],Tabla13[[Código Indra]:[ID2]],24,FALSE)</f>
        <v>85</v>
      </c>
      <c r="D104" s="424">
        <v>45679</v>
      </c>
      <c r="E104" s="428" t="s">
        <v>1311</v>
      </c>
      <c r="F104" s="426" t="s">
        <v>1312</v>
      </c>
      <c r="G104" s="426" t="s">
        <v>1436</v>
      </c>
      <c r="H104" s="426" t="s">
        <v>1732</v>
      </c>
      <c r="I104" s="443" t="s">
        <v>1721</v>
      </c>
    </row>
    <row r="105" spans="3:9" ht="16.5" hidden="1" x14ac:dyDescent="0.25">
      <c r="C105" s="427">
        <f>VLOOKUP(Tabla1322[[#This Row],[Código INDRA]],Tabla13[[Código Indra]:[ID2]],24,FALSE)</f>
        <v>86</v>
      </c>
      <c r="D105" s="424">
        <v>45636</v>
      </c>
      <c r="E105" s="428" t="s">
        <v>1319</v>
      </c>
      <c r="F105" s="426" t="s">
        <v>1320</v>
      </c>
      <c r="G105" s="426" t="s">
        <v>1436</v>
      </c>
      <c r="H105" s="426" t="s">
        <v>1733</v>
      </c>
      <c r="I105" s="443" t="s">
        <v>1660</v>
      </c>
    </row>
    <row r="106" spans="3:9" ht="82.5" hidden="1" x14ac:dyDescent="0.25">
      <c r="C106" s="423">
        <f>VLOOKUP(Tabla1322[[#This Row],[Código INDRA]],Tabla13[[Código Indra]:[ID2]],24,FALSE)</f>
        <v>87</v>
      </c>
      <c r="D106" s="424">
        <v>45672</v>
      </c>
      <c r="E106" s="428" t="s">
        <v>471</v>
      </c>
      <c r="F106" s="426" t="s">
        <v>65</v>
      </c>
      <c r="G106" s="426" t="s">
        <v>1436</v>
      </c>
      <c r="H106" s="426" t="s">
        <v>1734</v>
      </c>
      <c r="I106" s="443" t="s">
        <v>1735</v>
      </c>
    </row>
    <row r="107" spans="3:9" ht="181.5" hidden="1" x14ac:dyDescent="0.25">
      <c r="C107" s="423">
        <f>VLOOKUP(Tabla1322[[#This Row],[Código INDRA]],Tabla13[[Código Indra]:[ID2]],24,FALSE)</f>
        <v>88</v>
      </c>
      <c r="D107" s="424">
        <v>45630</v>
      </c>
      <c r="E107" s="428" t="s">
        <v>476</v>
      </c>
      <c r="F107" s="426" t="s">
        <v>477</v>
      </c>
      <c r="G107" s="426" t="s">
        <v>1436</v>
      </c>
      <c r="H107" s="426" t="s">
        <v>1736</v>
      </c>
      <c r="I107" s="443" t="s">
        <v>1737</v>
      </c>
    </row>
    <row r="108" spans="3:9" ht="82.5" hidden="1" x14ac:dyDescent="0.25">
      <c r="C108" s="423">
        <f>VLOOKUP(Tabla1322[[#This Row],[Código INDRA]],Tabla13[[Código Indra]:[ID2]],24,FALSE)</f>
        <v>89</v>
      </c>
      <c r="D108" s="424">
        <v>45630</v>
      </c>
      <c r="E108" s="428" t="s">
        <v>481</v>
      </c>
      <c r="F108" s="426" t="s">
        <v>482</v>
      </c>
      <c r="G108" s="426" t="s">
        <v>1436</v>
      </c>
      <c r="H108" s="426" t="s">
        <v>1738</v>
      </c>
      <c r="I108" s="443" t="s">
        <v>1739</v>
      </c>
    </row>
    <row r="109" spans="3:9" ht="99" hidden="1" x14ac:dyDescent="0.25">
      <c r="C109" s="423">
        <f>VLOOKUP(Tabla1322[[#This Row],[Código INDRA]],Tabla13[[Código Indra]:[ID2]],24,FALSE)</f>
        <v>90</v>
      </c>
      <c r="D109" s="424">
        <v>45616</v>
      </c>
      <c r="E109" s="428" t="s">
        <v>485</v>
      </c>
      <c r="F109" s="426" t="s">
        <v>486</v>
      </c>
      <c r="G109" s="426" t="s">
        <v>1436</v>
      </c>
      <c r="H109" s="426" t="s">
        <v>1740</v>
      </c>
      <c r="I109" s="443" t="s">
        <v>1741</v>
      </c>
    </row>
    <row r="110" spans="3:9" ht="82.5" hidden="1" x14ac:dyDescent="0.25">
      <c r="C110" s="423">
        <f>VLOOKUP(Tabla1322[[#This Row],[Código INDRA]],Tabla13[[Código Indra]:[ID2]],24,FALSE)</f>
        <v>91</v>
      </c>
      <c r="D110" s="424">
        <v>45672</v>
      </c>
      <c r="E110" s="428" t="s">
        <v>489</v>
      </c>
      <c r="F110" s="426" t="s">
        <v>1742</v>
      </c>
      <c r="G110" s="426" t="s">
        <v>1436</v>
      </c>
      <c r="H110" s="426" t="s">
        <v>1743</v>
      </c>
      <c r="I110" s="443" t="s">
        <v>1741</v>
      </c>
    </row>
    <row r="111" spans="3:9" ht="115.5" hidden="1" x14ac:dyDescent="0.25">
      <c r="C111" s="423">
        <f>VLOOKUP(Tabla1322[[#This Row],[Código INDRA]],Tabla13[[Código Indra]:[ID2]],24,FALSE)</f>
        <v>92</v>
      </c>
      <c r="D111" s="424">
        <v>45672</v>
      </c>
      <c r="E111" s="428" t="s">
        <v>493</v>
      </c>
      <c r="F111" s="426" t="s">
        <v>494</v>
      </c>
      <c r="G111" s="426" t="s">
        <v>1436</v>
      </c>
      <c r="H111" s="426" t="s">
        <v>1744</v>
      </c>
      <c r="I111" s="443" t="s">
        <v>1741</v>
      </c>
    </row>
    <row r="112" spans="3:9" ht="115.5" hidden="1" x14ac:dyDescent="0.25">
      <c r="C112" s="423">
        <f>VLOOKUP(Tabla1322[[#This Row],[Código INDRA]],Tabla13[[Código Indra]:[ID2]],24,FALSE)</f>
        <v>93</v>
      </c>
      <c r="D112" s="424">
        <v>45672</v>
      </c>
      <c r="E112" s="428" t="s">
        <v>67</v>
      </c>
      <c r="F112" s="426" t="s">
        <v>68</v>
      </c>
      <c r="G112" s="426" t="s">
        <v>1436</v>
      </c>
      <c r="H112" s="426" t="s">
        <v>1745</v>
      </c>
      <c r="I112" s="443" t="s">
        <v>1721</v>
      </c>
    </row>
    <row r="113" spans="3:9" ht="115.5" hidden="1" x14ac:dyDescent="0.25">
      <c r="C113" s="423">
        <f>VLOOKUP(Tabla1322[[#This Row],[Código INDRA]],Tabla13[[Código Indra]:[ID2]],24,FALSE)</f>
        <v>94</v>
      </c>
      <c r="D113" s="424">
        <v>45672</v>
      </c>
      <c r="E113" s="428" t="s">
        <v>500</v>
      </c>
      <c r="F113" s="426" t="s">
        <v>1746</v>
      </c>
      <c r="G113" s="426" t="s">
        <v>1436</v>
      </c>
      <c r="H113" s="426" t="s">
        <v>1747</v>
      </c>
      <c r="I113" s="443" t="s">
        <v>1748</v>
      </c>
    </row>
    <row r="114" spans="3:9" ht="115.5" hidden="1" x14ac:dyDescent="0.25">
      <c r="C114" s="423">
        <f>VLOOKUP(Tabla1322[[#This Row],[Código INDRA]],Tabla13[[Código Indra]:[ID2]],24,FALSE)</f>
        <v>95</v>
      </c>
      <c r="D114" s="424">
        <v>45672</v>
      </c>
      <c r="E114" s="428" t="s">
        <v>502</v>
      </c>
      <c r="F114" s="426" t="s">
        <v>1749</v>
      </c>
      <c r="G114" s="426" t="s">
        <v>1436</v>
      </c>
      <c r="H114" s="426" t="s">
        <v>1750</v>
      </c>
      <c r="I114" s="443" t="s">
        <v>1751</v>
      </c>
    </row>
    <row r="115" spans="3:9" ht="214.5" hidden="1" x14ac:dyDescent="0.25">
      <c r="C115" s="423">
        <f>VLOOKUP(Tabla1322[[#This Row],[Código INDRA]],Tabla13[[Código Indra]:[ID2]],24,FALSE)</f>
        <v>96</v>
      </c>
      <c r="D115" s="424">
        <v>45672</v>
      </c>
      <c r="E115" s="428" t="s">
        <v>504</v>
      </c>
      <c r="F115" s="426" t="s">
        <v>1752</v>
      </c>
      <c r="G115" s="426" t="s">
        <v>1436</v>
      </c>
      <c r="H115" s="426" t="s">
        <v>1753</v>
      </c>
      <c r="I115" s="443" t="s">
        <v>1751</v>
      </c>
    </row>
    <row r="116" spans="3:9" ht="115.5" hidden="1" x14ac:dyDescent="0.25">
      <c r="C116" s="423">
        <f>VLOOKUP(Tabla1322[[#This Row],[Código INDRA]],Tabla13[[Código Indra]:[ID2]],24,FALSE)</f>
        <v>97</v>
      </c>
      <c r="D116" s="424">
        <v>45672</v>
      </c>
      <c r="E116" s="428" t="s">
        <v>506</v>
      </c>
      <c r="F116" s="426" t="s">
        <v>1754</v>
      </c>
      <c r="G116" s="426" t="s">
        <v>1436</v>
      </c>
      <c r="H116" s="426" t="s">
        <v>1755</v>
      </c>
      <c r="I116" s="443" t="s">
        <v>1748</v>
      </c>
    </row>
    <row r="117" spans="3:9" ht="330" hidden="1" x14ac:dyDescent="0.25">
      <c r="C117" s="423">
        <f>VLOOKUP(Tabla1322[[#This Row],[Código INDRA]],Tabla13[[Código Indra]:[ID2]],24,FALSE)</f>
        <v>98</v>
      </c>
      <c r="D117" s="424">
        <v>45672</v>
      </c>
      <c r="E117" s="428" t="s">
        <v>643</v>
      </c>
      <c r="F117" s="426" t="s">
        <v>71</v>
      </c>
      <c r="G117" s="426" t="s">
        <v>1436</v>
      </c>
      <c r="H117" s="426" t="s">
        <v>1756</v>
      </c>
      <c r="I117" s="443" t="s">
        <v>1757</v>
      </c>
    </row>
    <row r="118" spans="3:9" ht="132" hidden="1" x14ac:dyDescent="0.25">
      <c r="C118" s="423">
        <f>VLOOKUP(Tabla1322[[#This Row],[Código INDRA]],Tabla13[[Código Indra]:[ID2]],24,FALSE)</f>
        <v>99</v>
      </c>
      <c r="D118" s="424">
        <v>45672</v>
      </c>
      <c r="E118" s="428" t="s">
        <v>508</v>
      </c>
      <c r="F118" s="426" t="s">
        <v>1758</v>
      </c>
      <c r="G118" s="426" t="s">
        <v>1436</v>
      </c>
      <c r="H118" s="426" t="s">
        <v>1759</v>
      </c>
      <c r="I118" s="443" t="s">
        <v>1760</v>
      </c>
    </row>
    <row r="119" spans="3:9" ht="198" hidden="1" x14ac:dyDescent="0.25">
      <c r="C119" s="423">
        <f>VLOOKUP(Tabla1322[[#This Row],[Código INDRA]],Tabla13[[Código Indra]:[ID2]],24,FALSE)</f>
        <v>100</v>
      </c>
      <c r="D119" s="424">
        <v>45581</v>
      </c>
      <c r="E119" s="428" t="s">
        <v>512</v>
      </c>
      <c r="F119" s="426" t="s">
        <v>513</v>
      </c>
      <c r="G119" s="426" t="s">
        <v>1436</v>
      </c>
      <c r="H119" s="426" t="s">
        <v>1761</v>
      </c>
      <c r="I119" s="443" t="s">
        <v>1672</v>
      </c>
    </row>
    <row r="120" spans="3:9" ht="181.5" hidden="1" x14ac:dyDescent="0.25">
      <c r="C120" s="423">
        <f>VLOOKUP(Tabla1322[[#This Row],[Código INDRA]],Tabla13[[Código Indra]:[ID2]],24,FALSE)</f>
        <v>101</v>
      </c>
      <c r="D120" s="424">
        <v>45581</v>
      </c>
      <c r="E120" s="428" t="s">
        <v>516</v>
      </c>
      <c r="F120" s="426" t="s">
        <v>517</v>
      </c>
      <c r="G120" s="426" t="s">
        <v>1436</v>
      </c>
      <c r="H120" s="426" t="s">
        <v>1762</v>
      </c>
      <c r="I120" s="443" t="s">
        <v>1672</v>
      </c>
    </row>
    <row r="121" spans="3:9" ht="148.5" hidden="1" x14ac:dyDescent="0.25">
      <c r="C121" s="427">
        <f>VLOOKUP(Tabla1322[[#This Row],[Código INDRA]],Tabla13[[Código Indra]:[ID2]],24,FALSE)</f>
        <v>102</v>
      </c>
      <c r="D121" s="424">
        <v>45579</v>
      </c>
      <c r="E121" s="428" t="s">
        <v>520</v>
      </c>
      <c r="F121" s="426" t="s">
        <v>521</v>
      </c>
      <c r="G121" s="426" t="s">
        <v>1436</v>
      </c>
      <c r="H121" s="426" t="s">
        <v>1763</v>
      </c>
      <c r="I121" s="443" t="s">
        <v>1764</v>
      </c>
    </row>
    <row r="122" spans="3:9" ht="82.5" hidden="1" x14ac:dyDescent="0.25">
      <c r="C122" s="423">
        <f>VLOOKUP(Tabla1322[[#This Row],[Código INDRA]],Tabla13[[Código Indra]:[ID2]],24,FALSE)</f>
        <v>103</v>
      </c>
      <c r="D122" s="424">
        <v>45580</v>
      </c>
      <c r="E122" s="428" t="s">
        <v>524</v>
      </c>
      <c r="F122" s="426" t="s">
        <v>525</v>
      </c>
      <c r="G122" s="426" t="s">
        <v>1436</v>
      </c>
      <c r="H122" s="426" t="s">
        <v>1765</v>
      </c>
      <c r="I122" s="443" t="s">
        <v>1766</v>
      </c>
    </row>
    <row r="123" spans="3:9" ht="82.5" hidden="1" x14ac:dyDescent="0.25">
      <c r="C123" s="423">
        <f>VLOOKUP(Tabla1322[[#This Row],[Código INDRA]],Tabla13[[Código Indra]:[ID2]],24,FALSE)</f>
        <v>104</v>
      </c>
      <c r="D123" s="424">
        <v>45582</v>
      </c>
      <c r="E123" s="428" t="s">
        <v>528</v>
      </c>
      <c r="F123" s="426" t="s">
        <v>529</v>
      </c>
      <c r="G123" s="426" t="s">
        <v>1436</v>
      </c>
      <c r="H123" s="426" t="s">
        <v>1767</v>
      </c>
      <c r="I123" s="443" t="s">
        <v>1672</v>
      </c>
    </row>
    <row r="124" spans="3:9" ht="16.5" hidden="1" x14ac:dyDescent="0.25">
      <c r="C124" s="423">
        <f>VLOOKUP(Tabla1322[[#This Row],[Código INDRA]],Tabla13[[Código Indra]:[ID2]],24,FALSE)</f>
        <v>105</v>
      </c>
      <c r="D124" s="424">
        <v>45659</v>
      </c>
      <c r="E124" s="428" t="s">
        <v>73</v>
      </c>
      <c r="F124" s="452" t="s">
        <v>604</v>
      </c>
      <c r="G124" s="424"/>
      <c r="H124" s="426" t="s">
        <v>1727</v>
      </c>
      <c r="I124" s="443"/>
    </row>
    <row r="125" spans="3:9" ht="82.5" hidden="1" x14ac:dyDescent="0.25">
      <c r="C125" s="423">
        <f>VLOOKUP(Tabla1322[[#This Row],[Código INDRA]],Tabla13[[Código Indra]:[ID2]],24,FALSE)</f>
        <v>106</v>
      </c>
      <c r="D125" s="424">
        <v>45580</v>
      </c>
      <c r="E125" s="428" t="s">
        <v>687</v>
      </c>
      <c r="F125" s="426" t="s">
        <v>688</v>
      </c>
      <c r="G125" s="426" t="s">
        <v>1436</v>
      </c>
      <c r="H125" s="426" t="s">
        <v>1768</v>
      </c>
      <c r="I125" s="443" t="s">
        <v>1769</v>
      </c>
    </row>
    <row r="126" spans="3:9" ht="66" hidden="1" x14ac:dyDescent="0.25">
      <c r="C126" s="423">
        <f>VLOOKUP(Tabla1322[[#This Row],[Código INDRA]],Tabla13[[Código Indra]:[ID2]],24,FALSE)</f>
        <v>107</v>
      </c>
      <c r="D126" s="424"/>
      <c r="E126" s="428" t="s">
        <v>891</v>
      </c>
      <c r="F126" s="426" t="s">
        <v>1770</v>
      </c>
      <c r="G126" s="426" t="s">
        <v>1436</v>
      </c>
      <c r="H126" s="426" t="s">
        <v>1771</v>
      </c>
      <c r="I126" s="443" t="s">
        <v>1721</v>
      </c>
    </row>
    <row r="127" spans="3:9" ht="16.5" hidden="1" x14ac:dyDescent="0.25">
      <c r="C127" s="423">
        <f>VLOOKUP(Tabla1322[[#This Row],[Código INDRA]],Tabla13[[Código Indra]:[ID2]],24,FALSE)</f>
        <v>108</v>
      </c>
      <c r="D127" s="424">
        <v>45630</v>
      </c>
      <c r="E127" s="428" t="s">
        <v>893</v>
      </c>
      <c r="F127" s="426" t="s">
        <v>1772</v>
      </c>
      <c r="G127" s="426" t="s">
        <v>1436</v>
      </c>
      <c r="H127" s="426" t="s">
        <v>1773</v>
      </c>
      <c r="I127" s="443" t="s">
        <v>1721</v>
      </c>
    </row>
    <row r="128" spans="3:9" ht="16.5" hidden="1" x14ac:dyDescent="0.25">
      <c r="C128" s="423">
        <f>VLOOKUP(Tabla1322[[#This Row],[Código INDRA]],Tabla13[[Código Indra]:[ID2]],24,FALSE)</f>
        <v>109</v>
      </c>
      <c r="D128" s="424">
        <v>45630</v>
      </c>
      <c r="E128" s="428" t="s">
        <v>897</v>
      </c>
      <c r="F128" s="426" t="s">
        <v>1774</v>
      </c>
      <c r="G128" s="426" t="s">
        <v>1436</v>
      </c>
      <c r="H128" s="426" t="s">
        <v>1773</v>
      </c>
      <c r="I128" s="443" t="s">
        <v>1721</v>
      </c>
    </row>
    <row r="129" spans="3:9" ht="409.5" hidden="1" x14ac:dyDescent="0.25">
      <c r="C129" s="423">
        <f>VLOOKUP(Tabla1322[[#This Row],[Código INDRA]],Tabla13[[Código Indra]:[ID2]],24,FALSE)</f>
        <v>110</v>
      </c>
      <c r="D129" s="424">
        <v>45672</v>
      </c>
      <c r="E129" s="428" t="s">
        <v>30</v>
      </c>
      <c r="F129" s="426" t="s">
        <v>31</v>
      </c>
      <c r="G129" s="426" t="s">
        <v>1436</v>
      </c>
      <c r="H129" s="426" t="s">
        <v>1775</v>
      </c>
      <c r="I129" s="443" t="s">
        <v>1776</v>
      </c>
    </row>
    <row r="130" spans="3:9" ht="66" hidden="1" x14ac:dyDescent="0.25">
      <c r="C130" s="423">
        <f>VLOOKUP(Tabla1322[[#This Row],[Código INDRA]],Tabla13[[Código Indra]:[ID2]],24,FALSE)</f>
        <v>112</v>
      </c>
      <c r="D130" s="424">
        <v>45635</v>
      </c>
      <c r="E130" s="428" t="s">
        <v>708</v>
      </c>
      <c r="F130" s="426" t="s">
        <v>709</v>
      </c>
      <c r="G130" s="426" t="s">
        <v>1436</v>
      </c>
      <c r="H130" s="426" t="s">
        <v>1777</v>
      </c>
      <c r="I130" s="443" t="s">
        <v>1778</v>
      </c>
    </row>
    <row r="131" spans="3:9" ht="82.5" hidden="1" x14ac:dyDescent="0.25">
      <c r="C131" s="423">
        <f>VLOOKUP(Tabla1322[[#This Row],[Código INDRA]],Tabla13[[Código Indra]:[ID2]],24,FALSE)</f>
        <v>113</v>
      </c>
      <c r="D131" s="424"/>
      <c r="E131" s="428" t="s">
        <v>615</v>
      </c>
      <c r="F131" s="426" t="s">
        <v>616</v>
      </c>
      <c r="G131" s="426" t="s">
        <v>1436</v>
      </c>
      <c r="H131" s="426" t="s">
        <v>1779</v>
      </c>
      <c r="I131" s="443" t="s">
        <v>1780</v>
      </c>
    </row>
    <row r="132" spans="3:9" ht="33" hidden="1" x14ac:dyDescent="0.25">
      <c r="C132" s="423">
        <f>VLOOKUP(Tabla1322[[#This Row],[Código INDRA]],Tabla13[[Código Indra]:[ID2]],24,FALSE)</f>
        <v>114</v>
      </c>
      <c r="D132" s="424"/>
      <c r="E132" s="428" t="s">
        <v>619</v>
      </c>
      <c r="F132" s="426" t="s">
        <v>620</v>
      </c>
      <c r="G132" s="426" t="s">
        <v>1436</v>
      </c>
      <c r="H132" s="426" t="s">
        <v>1781</v>
      </c>
      <c r="I132" s="443" t="s">
        <v>1782</v>
      </c>
    </row>
    <row r="133" spans="3:9" ht="33" hidden="1" x14ac:dyDescent="0.25">
      <c r="C133" s="423">
        <f>VLOOKUP(Tabla1322[[#This Row],[Código INDRA]],Tabla13[[Código Indra]:[ID2]],24,FALSE)</f>
        <v>115</v>
      </c>
      <c r="D133" s="424"/>
      <c r="E133" s="428" t="s">
        <v>1783</v>
      </c>
      <c r="F133" s="426" t="s">
        <v>620</v>
      </c>
      <c r="G133" s="426" t="s">
        <v>1436</v>
      </c>
      <c r="H133" s="426" t="s">
        <v>1784</v>
      </c>
      <c r="I133" s="443" t="s">
        <v>1785</v>
      </c>
    </row>
    <row r="134" spans="3:9" ht="16.5" hidden="1" x14ac:dyDescent="0.25">
      <c r="C134" s="427">
        <f>VLOOKUP(Tabla1322[[#This Row],[Código INDRA]],Tabla13[[Código Indra]:[ID2]],24,FALSE)</f>
        <v>118</v>
      </c>
      <c r="D134" s="424">
        <v>45659</v>
      </c>
      <c r="E134" s="428" t="s">
        <v>60</v>
      </c>
      <c r="F134" s="452" t="s">
        <v>61</v>
      </c>
      <c r="G134" s="424"/>
      <c r="H134" s="426" t="s">
        <v>1727</v>
      </c>
      <c r="I134" s="443" t="s">
        <v>1721</v>
      </c>
    </row>
    <row r="135" spans="3:9" ht="99" hidden="1" x14ac:dyDescent="0.25">
      <c r="C135" s="423">
        <f>VLOOKUP(Tabla1322[[#This Row],[Código INDRA]],Tabla13[[Código Indra]:[ID2]],24,FALSE)</f>
        <v>118</v>
      </c>
      <c r="D135" s="424"/>
      <c r="E135" s="428" t="s">
        <v>60</v>
      </c>
      <c r="F135" s="426" t="s">
        <v>61</v>
      </c>
      <c r="G135" s="426" t="s">
        <v>1436</v>
      </c>
      <c r="H135" s="426" t="s">
        <v>1786</v>
      </c>
      <c r="I135" s="443" t="s">
        <v>1721</v>
      </c>
    </row>
    <row r="136" spans="3:9" ht="82.5" hidden="1" x14ac:dyDescent="0.25">
      <c r="C136" s="423">
        <f>VLOOKUP(Tabla1322[[#This Row],[Código INDRA]],Tabla13[[Código Indra]:[ID2]],24,FALSE)</f>
        <v>119</v>
      </c>
      <c r="D136" s="424">
        <v>45630</v>
      </c>
      <c r="E136" s="428" t="s">
        <v>1281</v>
      </c>
      <c r="F136" s="426" t="s">
        <v>1282</v>
      </c>
      <c r="G136" s="426" t="s">
        <v>1436</v>
      </c>
      <c r="H136" s="426" t="s">
        <v>1787</v>
      </c>
      <c r="I136" s="443" t="s">
        <v>1721</v>
      </c>
    </row>
    <row r="137" spans="3:9" ht="33" hidden="1" x14ac:dyDescent="0.25">
      <c r="C137" s="423">
        <f>VLOOKUP(Tabla1322[[#This Row],[Código INDRA]],Tabla13[[Código Indra]:[ID2]],24,FALSE)</f>
        <v>120</v>
      </c>
      <c r="D137" s="424">
        <v>45631</v>
      </c>
      <c r="E137" s="428" t="s">
        <v>1322</v>
      </c>
      <c r="F137" s="426" t="s">
        <v>1323</v>
      </c>
      <c r="G137" s="426" t="s">
        <v>1436</v>
      </c>
      <c r="H137" s="426" t="s">
        <v>1788</v>
      </c>
      <c r="I137" s="443" t="s">
        <v>1789</v>
      </c>
    </row>
    <row r="138" spans="3:9" ht="33" hidden="1" x14ac:dyDescent="0.25">
      <c r="C138" s="423">
        <f>VLOOKUP(Tabla1322[[#This Row],[Código INDRA]],Tabla13[[Código Indra]:[ID2]],24,FALSE)</f>
        <v>125</v>
      </c>
      <c r="D138" s="424">
        <v>45298</v>
      </c>
      <c r="E138" s="428" t="s">
        <v>557</v>
      </c>
      <c r="F138" s="426" t="s">
        <v>86</v>
      </c>
      <c r="G138" s="426" t="s">
        <v>1436</v>
      </c>
      <c r="H138" s="426" t="s">
        <v>1790</v>
      </c>
      <c r="I138" s="443" t="s">
        <v>1791</v>
      </c>
    </row>
    <row r="139" spans="3:9" ht="16.5" hidden="1" x14ac:dyDescent="0.25">
      <c r="C139" s="423">
        <f>VLOOKUP(Tabla1322[[#This Row],[Código INDRA]],Tabla13[[Código Indra]:[ID2]],24,FALSE)</f>
        <v>138</v>
      </c>
      <c r="D139" s="424"/>
      <c r="E139" s="428" t="s">
        <v>837</v>
      </c>
      <c r="F139" s="426" t="s">
        <v>1792</v>
      </c>
      <c r="G139" s="426" t="s">
        <v>1436</v>
      </c>
      <c r="H139" s="426" t="s">
        <v>1793</v>
      </c>
      <c r="I139" s="443"/>
    </row>
    <row r="140" spans="3:9" ht="33" x14ac:dyDescent="0.25">
      <c r="C140" s="423">
        <f>VLOOKUP(Tabla1322[[#This Row],[Código INDRA]],Tabla13[[Código Indra]:[ID2]],24,FALSE)</f>
        <v>141</v>
      </c>
      <c r="D140" s="424">
        <v>45326</v>
      </c>
      <c r="E140" s="428" t="s">
        <v>844</v>
      </c>
      <c r="F140" s="452" t="s">
        <v>845</v>
      </c>
      <c r="G140" s="426" t="s">
        <v>1582</v>
      </c>
      <c r="H140" s="426" t="s">
        <v>1794</v>
      </c>
      <c r="I140" s="443"/>
    </row>
    <row r="141" spans="3:9" ht="165" hidden="1" x14ac:dyDescent="0.25">
      <c r="C141" s="423">
        <f>VLOOKUP(Tabla1322[[#This Row],[Código INDRA]],Tabla13[[Código Indra]:[ID2]],24,FALSE)</f>
        <v>143</v>
      </c>
      <c r="D141" s="424">
        <v>45667</v>
      </c>
      <c r="E141" s="428" t="s">
        <v>88</v>
      </c>
      <c r="F141" s="426" t="s">
        <v>89</v>
      </c>
      <c r="G141" s="426" t="s">
        <v>1436</v>
      </c>
      <c r="H141" s="426" t="s">
        <v>1795</v>
      </c>
      <c r="I141" s="443" t="s">
        <v>1796</v>
      </c>
    </row>
    <row r="142" spans="3:9" ht="16.5" hidden="1" x14ac:dyDescent="0.25">
      <c r="C142" s="423">
        <f>VLOOKUP(Tabla1322[[#This Row],[Código INDRA]],Tabla13[[Código Indra]:[ID2]],24,FALSE)</f>
        <v>144</v>
      </c>
      <c r="D142" s="424"/>
      <c r="E142" s="428" t="s">
        <v>573</v>
      </c>
      <c r="F142" s="426" t="s">
        <v>1797</v>
      </c>
      <c r="G142" s="426" t="s">
        <v>1436</v>
      </c>
      <c r="H142" s="426" t="s">
        <v>1798</v>
      </c>
      <c r="I142" s="443" t="s">
        <v>1799</v>
      </c>
    </row>
    <row r="143" spans="3:9" ht="33" hidden="1" x14ac:dyDescent="0.25">
      <c r="C143" s="423">
        <f>VLOOKUP(Tabla1322[[#This Row],[Código INDRA]],Tabla13[[Código Indra]:[ID2]],24,FALSE)</f>
        <v>146</v>
      </c>
      <c r="D143" s="424"/>
      <c r="E143" s="428" t="s">
        <v>577</v>
      </c>
      <c r="F143" s="426" t="s">
        <v>578</v>
      </c>
      <c r="G143" s="426" t="s">
        <v>1436</v>
      </c>
      <c r="H143" s="426" t="s">
        <v>1800</v>
      </c>
      <c r="I143" s="443" t="s">
        <v>1799</v>
      </c>
    </row>
    <row r="144" spans="3:9" ht="16.5" hidden="1" x14ac:dyDescent="0.25">
      <c r="C144" s="423">
        <f>VLOOKUP(Tabla1322[[#This Row],[Código INDRA]],Tabla13[[Código Indra]:[ID2]],24,FALSE)</f>
        <v>146</v>
      </c>
      <c r="D144" s="424"/>
      <c r="E144" s="428" t="s">
        <v>577</v>
      </c>
      <c r="F144" s="426" t="s">
        <v>1801</v>
      </c>
      <c r="G144" s="426" t="s">
        <v>1436</v>
      </c>
      <c r="H144" s="426" t="s">
        <v>1798</v>
      </c>
      <c r="I144" s="443" t="s">
        <v>1799</v>
      </c>
    </row>
    <row r="145" spans="3:9" ht="16.5" hidden="1" x14ac:dyDescent="0.25">
      <c r="C145" s="427">
        <f>VLOOKUP(Tabla1322[[#This Row],[Código INDRA]],Tabla13[[Código Indra]:[ID2]],24,FALSE)</f>
        <v>148</v>
      </c>
      <c r="D145" s="424"/>
      <c r="E145" s="428" t="s">
        <v>580</v>
      </c>
      <c r="F145" s="426" t="s">
        <v>1802</v>
      </c>
      <c r="G145" s="426" t="s">
        <v>1436</v>
      </c>
      <c r="H145" s="426" t="s">
        <v>1798</v>
      </c>
      <c r="I145" s="443" t="s">
        <v>1799</v>
      </c>
    </row>
    <row r="146" spans="3:9" ht="16.5" hidden="1" x14ac:dyDescent="0.25">
      <c r="C146" s="423">
        <f>VLOOKUP(Tabla1322[[#This Row],[Código INDRA]],Tabla13[[Código Indra]:[ID2]],24,FALSE)</f>
        <v>150</v>
      </c>
      <c r="D146" s="424">
        <v>45659</v>
      </c>
      <c r="E146" s="428" t="s">
        <v>163</v>
      </c>
      <c r="F146" s="452" t="s">
        <v>164</v>
      </c>
      <c r="G146" s="424"/>
      <c r="H146" s="426" t="s">
        <v>1727</v>
      </c>
      <c r="I146" s="443"/>
    </row>
    <row r="147" spans="3:9" ht="409.5" hidden="1" x14ac:dyDescent="0.25">
      <c r="C147" s="423">
        <f>VLOOKUP(Tabla1322[[#This Row],[Código INDRA]],Tabla13[[Código Indra]:[ID2]],24,FALSE)</f>
        <v>173</v>
      </c>
      <c r="D147" s="424">
        <v>45698</v>
      </c>
      <c r="E147" s="428" t="s">
        <v>35</v>
      </c>
      <c r="F147" s="426" t="s">
        <v>36</v>
      </c>
      <c r="G147" s="426" t="s">
        <v>1436</v>
      </c>
      <c r="H147" s="426" t="s">
        <v>1803</v>
      </c>
      <c r="I147" s="443" t="s">
        <v>1804</v>
      </c>
    </row>
    <row r="148" spans="3:9" ht="49.5" x14ac:dyDescent="0.25">
      <c r="C148" s="423">
        <f>VLOOKUP(Tabla1322[[#This Row],[Código INDRA]],Tabla13[[Código Indra]:[ID2]],24,FALSE)</f>
        <v>175</v>
      </c>
      <c r="D148" s="424">
        <v>45726</v>
      </c>
      <c r="E148" s="428" t="s">
        <v>1805</v>
      </c>
      <c r="F148" s="452" t="s">
        <v>1806</v>
      </c>
      <c r="G148" s="424" t="s">
        <v>1582</v>
      </c>
      <c r="H148" s="426" t="s">
        <v>1807</v>
      </c>
      <c r="I148" s="443" t="s">
        <v>1808</v>
      </c>
    </row>
    <row r="149" spans="3:9" ht="409.5" hidden="1" x14ac:dyDescent="0.25">
      <c r="C149" s="423">
        <f>VLOOKUP(Tabla1322[[#This Row],[Código INDRA]],Tabla13[[Código Indra]:[ID2]],24,FALSE)</f>
        <v>176</v>
      </c>
      <c r="D149" s="424">
        <v>45698</v>
      </c>
      <c r="E149" s="428" t="s">
        <v>40</v>
      </c>
      <c r="F149" s="426" t="s">
        <v>41</v>
      </c>
      <c r="G149" s="426" t="s">
        <v>1436</v>
      </c>
      <c r="H149" s="426" t="s">
        <v>1803</v>
      </c>
      <c r="I149" s="443" t="s">
        <v>1809</v>
      </c>
    </row>
    <row r="150" spans="3:9" ht="33" x14ac:dyDescent="0.25">
      <c r="C150" s="423">
        <f>VLOOKUP(Tabla1322[[#This Row],[Código INDRA]],Tabla13[[Código Indra]:[ID2]],24,FALSE)</f>
        <v>178</v>
      </c>
      <c r="D150" s="424">
        <v>45726</v>
      </c>
      <c r="E150" s="428" t="s">
        <v>466</v>
      </c>
      <c r="F150" s="452" t="s">
        <v>1810</v>
      </c>
      <c r="G150" s="424" t="s">
        <v>1582</v>
      </c>
      <c r="H150" s="426" t="s">
        <v>1811</v>
      </c>
      <c r="I150" s="443"/>
    </row>
    <row r="151" spans="3:9" ht="231" hidden="1" x14ac:dyDescent="0.25">
      <c r="C151" s="423">
        <f>VLOOKUP(Tabla1322[[#This Row],[Código INDRA]],Tabla13[[Código Indra]:[ID2]],24,FALSE)</f>
        <v>180</v>
      </c>
      <c r="D151" s="424"/>
      <c r="E151" s="428" t="s">
        <v>181</v>
      </c>
      <c r="F151" s="426" t="s">
        <v>182</v>
      </c>
      <c r="G151" s="426" t="s">
        <v>1436</v>
      </c>
      <c r="H151" s="426" t="s">
        <v>1812</v>
      </c>
      <c r="I151" s="443" t="s">
        <v>1813</v>
      </c>
    </row>
    <row r="152" spans="3:9" ht="49.5" x14ac:dyDescent="0.25">
      <c r="C152" s="423">
        <f>VLOOKUP(Tabla1322[[#This Row],[Código INDRA]],Tabla13[[Código Indra]:[ID2]],24,FALSE)</f>
        <v>181</v>
      </c>
      <c r="D152" s="424">
        <v>45993</v>
      </c>
      <c r="E152" s="428" t="s">
        <v>437</v>
      </c>
      <c r="F152" s="452" t="s">
        <v>438</v>
      </c>
      <c r="G152" s="424" t="s">
        <v>1582</v>
      </c>
      <c r="H152" s="426" t="s">
        <v>1814</v>
      </c>
      <c r="I152" s="443" t="s">
        <v>1815</v>
      </c>
    </row>
    <row r="153" spans="3:9" ht="33" x14ac:dyDescent="0.25">
      <c r="C153" s="423">
        <f>VLOOKUP(Tabla1322[[#This Row],[Código INDRA]],Tabla13[[Código Indra]:[ID2]],24,FALSE)</f>
        <v>182</v>
      </c>
      <c r="D153" s="424">
        <v>45993</v>
      </c>
      <c r="E153" s="428" t="s">
        <v>444</v>
      </c>
      <c r="F153" s="452" t="s">
        <v>445</v>
      </c>
      <c r="G153" s="424" t="s">
        <v>1582</v>
      </c>
      <c r="H153" s="426" t="s">
        <v>1816</v>
      </c>
      <c r="I153" s="443"/>
    </row>
    <row r="154" spans="3:9" ht="33" x14ac:dyDescent="0.25">
      <c r="C154" s="423">
        <f>VLOOKUP(Tabla1322[[#This Row],[Código INDRA]],Tabla13[[Código Indra]:[ID2]],24,FALSE)</f>
        <v>183</v>
      </c>
      <c r="D154" s="424">
        <v>45993</v>
      </c>
      <c r="E154" s="428" t="s">
        <v>1817</v>
      </c>
      <c r="F154" s="452" t="s">
        <v>1818</v>
      </c>
      <c r="G154" s="424" t="s">
        <v>1582</v>
      </c>
      <c r="H154" s="426" t="s">
        <v>1816</v>
      </c>
      <c r="I154" s="443"/>
    </row>
    <row r="155" spans="3:9" ht="33" x14ac:dyDescent="0.25">
      <c r="C155" s="427">
        <f>VLOOKUP(Tabla1322[[#This Row],[Código INDRA]],Tabla13[[Código Indra]:[ID2]],24,FALSE)</f>
        <v>184</v>
      </c>
      <c r="D155" s="424">
        <v>45993</v>
      </c>
      <c r="E155" s="428" t="s">
        <v>447</v>
      </c>
      <c r="F155" s="452" t="s">
        <v>448</v>
      </c>
      <c r="G155" s="424" t="s">
        <v>1582</v>
      </c>
      <c r="H155" s="426" t="s">
        <v>1816</v>
      </c>
      <c r="I155" s="443"/>
    </row>
    <row r="156" spans="3:9" ht="33" hidden="1" x14ac:dyDescent="0.25">
      <c r="C156" s="423">
        <f>VLOOKUP(Tabla1322[[#This Row],[Código INDRA]],Tabla13[[Código Indra]:[ID2]],24,FALSE)</f>
        <v>187</v>
      </c>
      <c r="D156" s="424">
        <v>45581</v>
      </c>
      <c r="E156" s="428" t="s">
        <v>626</v>
      </c>
      <c r="F156" s="452" t="s">
        <v>627</v>
      </c>
      <c r="G156" s="424" t="s">
        <v>1436</v>
      </c>
      <c r="H156" s="426" t="s">
        <v>1819</v>
      </c>
      <c r="I156" s="443" t="s">
        <v>1820</v>
      </c>
    </row>
    <row r="157" spans="3:9" ht="33" hidden="1" x14ac:dyDescent="0.25">
      <c r="C157" s="427">
        <f>VLOOKUP(Tabla1322[[#This Row],[Código INDRA]],Tabla13[[Código Indra]:[ID2]],24,FALSE)</f>
        <v>187</v>
      </c>
      <c r="D157" s="424">
        <v>45581</v>
      </c>
      <c r="E157" s="428" t="s">
        <v>626</v>
      </c>
      <c r="F157" s="426" t="s">
        <v>627</v>
      </c>
      <c r="G157" s="426" t="s">
        <v>1436</v>
      </c>
      <c r="H157" s="426" t="s">
        <v>1821</v>
      </c>
      <c r="I157" s="443" t="s">
        <v>1820</v>
      </c>
    </row>
    <row r="158" spans="3:9" ht="33" hidden="1" x14ac:dyDescent="0.25">
      <c r="C158" s="423">
        <f>VLOOKUP(Tabla1322[[#This Row],[Código INDRA]],Tabla13[[Código Indra]:[ID2]],24,FALSE)</f>
        <v>187</v>
      </c>
      <c r="D158" s="424">
        <v>45581</v>
      </c>
      <c r="E158" s="428" t="s">
        <v>626</v>
      </c>
      <c r="F158" s="426" t="s">
        <v>627</v>
      </c>
      <c r="G158" s="426" t="s">
        <v>1436</v>
      </c>
      <c r="H158" s="426" t="s">
        <v>1822</v>
      </c>
      <c r="I158" s="443" t="s">
        <v>1820</v>
      </c>
    </row>
    <row r="159" spans="3:9" ht="33" hidden="1" x14ac:dyDescent="0.25">
      <c r="C159" s="427">
        <f>VLOOKUP(Tabla1322[[#This Row],[Código INDRA]],Tabla13[[Código Indra]:[ID2]],24,FALSE)</f>
        <v>188</v>
      </c>
      <c r="D159" s="424">
        <v>45595</v>
      </c>
      <c r="E159" s="428" t="s">
        <v>454</v>
      </c>
      <c r="F159" s="426" t="s">
        <v>455</v>
      </c>
      <c r="G159" s="426" t="s">
        <v>1436</v>
      </c>
      <c r="H159" s="426" t="s">
        <v>1823</v>
      </c>
      <c r="I159" s="443" t="s">
        <v>1824</v>
      </c>
    </row>
    <row r="160" spans="3:9" ht="33" hidden="1" x14ac:dyDescent="0.25">
      <c r="C160" s="423">
        <f>VLOOKUP(Tabla1322[[#This Row],[Código INDRA]],Tabla13[[Código Indra]:[ID2]],24,FALSE)</f>
        <v>188</v>
      </c>
      <c r="D160" s="424">
        <v>45595</v>
      </c>
      <c r="E160" s="428" t="s">
        <v>454</v>
      </c>
      <c r="F160" s="426" t="s">
        <v>455</v>
      </c>
      <c r="G160" s="426" t="s">
        <v>1436</v>
      </c>
      <c r="H160" s="426" t="s">
        <v>1825</v>
      </c>
      <c r="I160" s="443" t="s">
        <v>1826</v>
      </c>
    </row>
    <row r="161" spans="3:9" ht="66" x14ac:dyDescent="0.25">
      <c r="C161" s="423">
        <f>VLOOKUP(Tabla1322[[#This Row],[Código INDRA]],Tabla13[[Código Indra]:[ID2]],24,FALSE)</f>
        <v>195</v>
      </c>
      <c r="D161" s="424">
        <v>45993</v>
      </c>
      <c r="E161" s="428" t="s">
        <v>49</v>
      </c>
      <c r="F161" s="452" t="s">
        <v>50</v>
      </c>
      <c r="G161" s="424" t="s">
        <v>1582</v>
      </c>
      <c r="H161" s="426" t="s">
        <v>1827</v>
      </c>
      <c r="I161" s="443" t="s">
        <v>1828</v>
      </c>
    </row>
    <row r="162" spans="3:9" ht="49.5" hidden="1" x14ac:dyDescent="0.25">
      <c r="C162" s="423">
        <f>VLOOKUP(Tabla1322[[#This Row],[Código INDRA]],Tabla13[[Código Indra]:[ID2]],24,FALSE)</f>
        <v>195</v>
      </c>
      <c r="D162" s="424"/>
      <c r="E162" s="428" t="s">
        <v>49</v>
      </c>
      <c r="F162" s="426" t="s">
        <v>50</v>
      </c>
      <c r="G162" s="426" t="s">
        <v>1436</v>
      </c>
      <c r="H162" s="426" t="s">
        <v>1829</v>
      </c>
      <c r="I162" s="443" t="s">
        <v>1828</v>
      </c>
    </row>
    <row r="163" spans="3:9" ht="66" hidden="1" x14ac:dyDescent="0.25">
      <c r="C163" s="423">
        <f>VLOOKUP(Tabla1322[[#This Row],[Código INDRA]],Tabla13[[Código Indra]:[ID2]],24,FALSE)</f>
        <v>195</v>
      </c>
      <c r="D163" s="424"/>
      <c r="E163" s="428" t="s">
        <v>49</v>
      </c>
      <c r="F163" s="426" t="s">
        <v>50</v>
      </c>
      <c r="G163" s="426" t="s">
        <v>1436</v>
      </c>
      <c r="H163" s="426" t="s">
        <v>1830</v>
      </c>
      <c r="I163" s="443" t="s">
        <v>1831</v>
      </c>
    </row>
    <row r="164" spans="3:9" ht="66" hidden="1" x14ac:dyDescent="0.25">
      <c r="C164" s="423">
        <f>VLOOKUP(Tabla1322[[#This Row],[Código INDRA]],Tabla13[[Código Indra]:[ID2]],24,FALSE)</f>
        <v>195</v>
      </c>
      <c r="D164" s="424"/>
      <c r="E164" s="428" t="s">
        <v>49</v>
      </c>
      <c r="F164" s="426" t="s">
        <v>50</v>
      </c>
      <c r="G164" s="426" t="s">
        <v>1436</v>
      </c>
      <c r="H164" s="426" t="s">
        <v>1832</v>
      </c>
      <c r="I164" s="443" t="s">
        <v>1828</v>
      </c>
    </row>
    <row r="165" spans="3:9" ht="33" hidden="1" x14ac:dyDescent="0.25">
      <c r="C165" s="423">
        <f>VLOOKUP(Tabla1322[[#This Row],[Código INDRA]],Tabla13[[Código Indra]:[ID2]],24,FALSE)</f>
        <v>195</v>
      </c>
      <c r="D165" s="424"/>
      <c r="E165" s="428" t="s">
        <v>49</v>
      </c>
      <c r="F165" s="426" t="s">
        <v>50</v>
      </c>
      <c r="G165" s="426" t="s">
        <v>1436</v>
      </c>
      <c r="H165" s="426" t="s">
        <v>1833</v>
      </c>
      <c r="I165" s="443" t="s">
        <v>1834</v>
      </c>
    </row>
    <row r="166" spans="3:9" ht="33" hidden="1" x14ac:dyDescent="0.25">
      <c r="C166" s="423">
        <f>VLOOKUP(Tabla1322[[#This Row],[Código INDRA]],Tabla13[[Código Indra]:[ID2]],24,FALSE)</f>
        <v>195</v>
      </c>
      <c r="D166" s="424"/>
      <c r="E166" s="428" t="s">
        <v>49</v>
      </c>
      <c r="F166" s="426" t="s">
        <v>50</v>
      </c>
      <c r="G166" s="426" t="s">
        <v>1436</v>
      </c>
      <c r="H166" s="426" t="s">
        <v>1835</v>
      </c>
      <c r="I166" s="443" t="s">
        <v>1836</v>
      </c>
    </row>
    <row r="167" spans="3:9" ht="99" hidden="1" x14ac:dyDescent="0.25">
      <c r="C167" s="423">
        <f>VLOOKUP(Tabla1322[[#This Row],[Código INDRA]],Tabla13[[Código Indra]:[ID2]],24,FALSE)</f>
        <v>195</v>
      </c>
      <c r="D167" s="424"/>
      <c r="E167" s="428" t="s">
        <v>49</v>
      </c>
      <c r="F167" s="426" t="s">
        <v>50</v>
      </c>
      <c r="G167" s="426" t="s">
        <v>1436</v>
      </c>
      <c r="H167" s="426" t="s">
        <v>1837</v>
      </c>
      <c r="I167" s="443" t="s">
        <v>1838</v>
      </c>
    </row>
    <row r="168" spans="3:9" ht="33" hidden="1" x14ac:dyDescent="0.25">
      <c r="C168" s="423">
        <f>VLOOKUP(Tabla1322[[#This Row],[Código INDRA]],Tabla13[[Código Indra]:[ID2]],24,FALSE)</f>
        <v>196</v>
      </c>
      <c r="D168" s="424">
        <v>45617</v>
      </c>
      <c r="E168" s="428" t="s">
        <v>462</v>
      </c>
      <c r="F168" s="426" t="s">
        <v>463</v>
      </c>
      <c r="G168" s="426" t="s">
        <v>1436</v>
      </c>
      <c r="H168" s="426" t="s">
        <v>1839</v>
      </c>
      <c r="I168" s="443" t="s">
        <v>1721</v>
      </c>
    </row>
    <row r="169" spans="3:9" ht="33" x14ac:dyDescent="0.25">
      <c r="C169" s="423">
        <f>VLOOKUP(Tabla1322[[#This Row],[Código INDRA]],Tabla13[[Código Indra]:[ID2]],24,FALSE)</f>
        <v>200</v>
      </c>
      <c r="D169" s="424">
        <v>45993</v>
      </c>
      <c r="E169" s="428" t="s">
        <v>1840</v>
      </c>
      <c r="F169" s="452" t="s">
        <v>1403</v>
      </c>
      <c r="G169" s="424" t="s">
        <v>1582</v>
      </c>
      <c r="H169" s="426" t="s">
        <v>1841</v>
      </c>
      <c r="I169" s="443"/>
    </row>
    <row r="170" spans="3:9" ht="346.5" hidden="1" x14ac:dyDescent="0.25">
      <c r="C170" s="423">
        <f>VLOOKUP(Tabla1322[[#This Row],[Código INDRA]],Tabla13[[Código Indra]:[ID2]],24,FALSE)</f>
        <v>201</v>
      </c>
      <c r="D170" s="424">
        <v>45698</v>
      </c>
      <c r="E170" s="428" t="s">
        <v>532</v>
      </c>
      <c r="F170" s="426" t="s">
        <v>77</v>
      </c>
      <c r="G170" s="426" t="s">
        <v>1436</v>
      </c>
      <c r="H170" s="426" t="s">
        <v>1842</v>
      </c>
      <c r="I170" s="443" t="s">
        <v>1843</v>
      </c>
    </row>
    <row r="171" spans="3:9" ht="49.5" hidden="1" x14ac:dyDescent="0.25">
      <c r="C171" s="423">
        <f>VLOOKUP(Tabla1322[[#This Row],[Código INDRA]],Tabla13[[Código Indra]:[ID2]],24,FALSE)</f>
        <v>202</v>
      </c>
      <c r="D171" s="424">
        <v>45580</v>
      </c>
      <c r="E171" s="428" t="s">
        <v>536</v>
      </c>
      <c r="F171" s="426" t="s">
        <v>537</v>
      </c>
      <c r="G171" s="426" t="s">
        <v>1436</v>
      </c>
      <c r="H171" s="426" t="s">
        <v>1844</v>
      </c>
      <c r="I171" s="443" t="s">
        <v>1845</v>
      </c>
    </row>
    <row r="172" spans="3:9" ht="115.5" hidden="1" x14ac:dyDescent="0.25">
      <c r="C172" s="423">
        <f>VLOOKUP(Tabla1322[[#This Row],[Código INDRA]],Tabla13[[Código Indra]:[ID2]],24,FALSE)</f>
        <v>203</v>
      </c>
      <c r="D172" s="424">
        <v>45579</v>
      </c>
      <c r="E172" s="428" t="s">
        <v>539</v>
      </c>
      <c r="F172" s="426" t="s">
        <v>540</v>
      </c>
      <c r="G172" s="426" t="s">
        <v>1436</v>
      </c>
      <c r="H172" s="426" t="s">
        <v>1846</v>
      </c>
      <c r="I172" s="443" t="s">
        <v>1847</v>
      </c>
    </row>
    <row r="173" spans="3:9" ht="115.5" hidden="1" x14ac:dyDescent="0.25">
      <c r="C173" s="423">
        <f>VLOOKUP(Tabla1322[[#This Row],[Código INDRA]],Tabla13[[Código Indra]:[ID2]],24,FALSE)</f>
        <v>205</v>
      </c>
      <c r="D173" s="424">
        <v>45580</v>
      </c>
      <c r="E173" s="428" t="s">
        <v>543</v>
      </c>
      <c r="F173" s="426" t="s">
        <v>544</v>
      </c>
      <c r="G173" s="426" t="s">
        <v>1436</v>
      </c>
      <c r="H173" s="426" t="s">
        <v>1848</v>
      </c>
      <c r="I173" s="443"/>
    </row>
    <row r="174" spans="3:9" ht="82.5" hidden="1" x14ac:dyDescent="0.25">
      <c r="C174" s="423">
        <f>VLOOKUP(Tabla1322[[#This Row],[Código INDRA]],Tabla13[[Código Indra]:[ID2]],24,FALSE)</f>
        <v>206</v>
      </c>
      <c r="D174" s="424">
        <v>45580</v>
      </c>
      <c r="E174" s="428" t="s">
        <v>546</v>
      </c>
      <c r="F174" s="426" t="s">
        <v>547</v>
      </c>
      <c r="G174" s="426" t="s">
        <v>1436</v>
      </c>
      <c r="H174" s="426" t="s">
        <v>1849</v>
      </c>
      <c r="I174" s="443" t="s">
        <v>1847</v>
      </c>
    </row>
    <row r="175" spans="3:9" ht="49.5" hidden="1" x14ac:dyDescent="0.25">
      <c r="C175" s="423">
        <f>VLOOKUP(Tabla1322[[#This Row],[Código INDRA]],Tabla13[[Código Indra]:[ID2]],24,FALSE)</f>
        <v>206</v>
      </c>
      <c r="D175" s="424">
        <v>45580</v>
      </c>
      <c r="E175" s="428" t="s">
        <v>546</v>
      </c>
      <c r="F175" s="426" t="s">
        <v>547</v>
      </c>
      <c r="G175" s="426" t="s">
        <v>1436</v>
      </c>
      <c r="H175" s="426" t="s">
        <v>1850</v>
      </c>
      <c r="I175" s="443" t="s">
        <v>1851</v>
      </c>
    </row>
    <row r="176" spans="3:9" ht="66" hidden="1" x14ac:dyDescent="0.25">
      <c r="C176" s="423">
        <f>VLOOKUP(Tabla1322[[#This Row],[Código INDRA]],Tabla13[[Código Indra]:[ID2]],24,FALSE)</f>
        <v>207</v>
      </c>
      <c r="D176" s="424">
        <v>45586</v>
      </c>
      <c r="E176" s="428" t="s">
        <v>550</v>
      </c>
      <c r="F176" s="426" t="s">
        <v>1852</v>
      </c>
      <c r="G176" s="426" t="s">
        <v>1436</v>
      </c>
      <c r="H176" s="426" t="s">
        <v>1853</v>
      </c>
      <c r="I176" s="443" t="s">
        <v>1854</v>
      </c>
    </row>
    <row r="177" spans="3:9" ht="49.5" hidden="1" x14ac:dyDescent="0.25">
      <c r="C177" s="423">
        <f>VLOOKUP(Tabla1322[[#This Row],[Código INDRA]],Tabla13[[Código Indra]:[ID2]],24,FALSE)</f>
        <v>209</v>
      </c>
      <c r="D177" s="424">
        <v>45700</v>
      </c>
      <c r="E177" s="428" t="s">
        <v>554</v>
      </c>
      <c r="F177" s="426" t="s">
        <v>555</v>
      </c>
      <c r="G177" s="426" t="s">
        <v>1436</v>
      </c>
      <c r="H177" s="426" t="s">
        <v>1855</v>
      </c>
      <c r="I177" s="443"/>
    </row>
    <row r="178" spans="3:9" ht="132" hidden="1" x14ac:dyDescent="0.25">
      <c r="C178" s="423">
        <f>VLOOKUP(Tabla1322[[#This Row],[Código INDRA]],Tabla13[[Código Indra]:[ID2]],24,FALSE)</f>
        <v>210</v>
      </c>
      <c r="D178" s="424">
        <v>45659</v>
      </c>
      <c r="E178" s="428" t="s">
        <v>79</v>
      </c>
      <c r="F178" s="452" t="s">
        <v>80</v>
      </c>
      <c r="G178" s="424"/>
      <c r="H178" s="426" t="s">
        <v>1727</v>
      </c>
      <c r="I178" s="443" t="s">
        <v>1856</v>
      </c>
    </row>
    <row r="179" spans="3:9" ht="132" x14ac:dyDescent="0.25">
      <c r="C179" s="423">
        <f>VLOOKUP(Tabla1322[[#This Row],[Código INDRA]],Tabla13[[Código Indra]:[ID2]],24,FALSE)</f>
        <v>210</v>
      </c>
      <c r="D179" s="424">
        <v>46000</v>
      </c>
      <c r="E179" s="428" t="s">
        <v>79</v>
      </c>
      <c r="F179" s="452" t="s">
        <v>80</v>
      </c>
      <c r="G179" s="426" t="s">
        <v>1582</v>
      </c>
      <c r="H179" s="426" t="s">
        <v>1857</v>
      </c>
      <c r="I179" s="443" t="s">
        <v>1856</v>
      </c>
    </row>
    <row r="180" spans="3:9" ht="379.5" hidden="1" x14ac:dyDescent="0.25">
      <c r="C180" s="423">
        <f>VLOOKUP(Tabla1322[[#This Row],[Código INDRA]],Tabla13[[Código Indra]:[ID2]],24,FALSE)</f>
        <v>210</v>
      </c>
      <c r="D180" s="424">
        <v>45587</v>
      </c>
      <c r="E180" s="428" t="s">
        <v>79</v>
      </c>
      <c r="F180" s="426" t="s">
        <v>80</v>
      </c>
      <c r="G180" s="426" t="s">
        <v>1436</v>
      </c>
      <c r="H180" s="426" t="s">
        <v>1858</v>
      </c>
      <c r="I180" s="443" t="s">
        <v>1856</v>
      </c>
    </row>
    <row r="181" spans="3:9" ht="33" hidden="1" x14ac:dyDescent="0.25">
      <c r="C181" s="423">
        <f>VLOOKUP(Tabla1322[[#This Row],[Código INDRA]],Tabla13[[Código Indra]:[ID2]],24,FALSE)</f>
        <v>219</v>
      </c>
      <c r="D181" s="424"/>
      <c r="E181" s="428" t="s">
        <v>115</v>
      </c>
      <c r="F181" s="426" t="s">
        <v>116</v>
      </c>
      <c r="G181" s="426" t="s">
        <v>1436</v>
      </c>
      <c r="H181" s="426" t="s">
        <v>1859</v>
      </c>
      <c r="I181" s="443"/>
    </row>
    <row r="182" spans="3:9" ht="33" hidden="1" x14ac:dyDescent="0.25">
      <c r="C182" s="423">
        <f>VLOOKUP(Tabla1322[[#This Row],[Código INDRA]],Tabla13[[Código Indra]:[ID2]],24,FALSE)</f>
        <v>221</v>
      </c>
      <c r="D182" s="424"/>
      <c r="E182" s="428" t="s">
        <v>712</v>
      </c>
      <c r="F182" s="426" t="s">
        <v>713</v>
      </c>
      <c r="G182" s="426" t="s">
        <v>1436</v>
      </c>
      <c r="H182" s="426"/>
      <c r="I182" s="443"/>
    </row>
    <row r="183" spans="3:9" ht="15" hidden="1" customHeight="1" x14ac:dyDescent="0.25">
      <c r="C183" s="423">
        <f>VLOOKUP(Tabla1322[[#This Row],[Código INDRA]],Tabla13[[Código Indra]:[ID2]],24,FALSE)</f>
        <v>226</v>
      </c>
      <c r="D183" s="424">
        <v>45659</v>
      </c>
      <c r="E183" s="428" t="s">
        <v>825</v>
      </c>
      <c r="F183" s="452" t="s">
        <v>1860</v>
      </c>
      <c r="G183" s="424"/>
      <c r="H183" s="426" t="s">
        <v>1727</v>
      </c>
      <c r="I183" s="443"/>
    </row>
    <row r="184" spans="3:9" ht="15" hidden="1" customHeight="1" x14ac:dyDescent="0.25">
      <c r="C184" s="423">
        <f>VLOOKUP(Tabla1322[[#This Row],[Código INDRA]],Tabla13[[Código Indra]:[ID2]],24,FALSE)</f>
        <v>226</v>
      </c>
      <c r="D184" s="424">
        <v>46000</v>
      </c>
      <c r="E184" s="425" t="s">
        <v>825</v>
      </c>
      <c r="F184" s="426" t="s">
        <v>1860</v>
      </c>
      <c r="G184" s="424"/>
      <c r="H184" s="426" t="s">
        <v>1861</v>
      </c>
      <c r="I184" s="443"/>
    </row>
    <row r="185" spans="3:9" ht="15" hidden="1" customHeight="1" x14ac:dyDescent="0.25">
      <c r="C185" s="423">
        <f>VLOOKUP(Tabla1322[[#This Row],[Código INDRA]],Tabla13[[Código Indra]:[ID2]],24,FALSE)</f>
        <v>227</v>
      </c>
      <c r="D185" s="424">
        <v>45659</v>
      </c>
      <c r="E185" s="428" t="s">
        <v>247</v>
      </c>
      <c r="F185" s="452" t="s">
        <v>248</v>
      </c>
      <c r="G185" s="424"/>
      <c r="H185" s="426" t="s">
        <v>1727</v>
      </c>
      <c r="I185" s="443"/>
    </row>
    <row r="186" spans="3:9" ht="15" hidden="1" customHeight="1" x14ac:dyDescent="0.25">
      <c r="C186" s="423">
        <f>VLOOKUP(Tabla1322[[#This Row],[Código INDRA]],Tabla13[[Código Indra]:[ID2]],24,FALSE)</f>
        <v>290</v>
      </c>
      <c r="D186" s="424">
        <v>45659</v>
      </c>
      <c r="E186" s="428" t="s">
        <v>937</v>
      </c>
      <c r="F186" s="452" t="s">
        <v>938</v>
      </c>
      <c r="G186" s="424"/>
      <c r="H186" s="426" t="s">
        <v>1727</v>
      </c>
      <c r="I186" s="443"/>
    </row>
    <row r="187" spans="3:9" ht="15" hidden="1" customHeight="1" x14ac:dyDescent="0.25">
      <c r="C187" s="423">
        <f>VLOOKUP(Tabla1322[[#This Row],[Código INDRA]],Tabla13[[Código Indra]:[ID2]],24,FALSE)</f>
        <v>316</v>
      </c>
      <c r="D187" s="424">
        <v>45659</v>
      </c>
      <c r="E187" s="428" t="s">
        <v>600</v>
      </c>
      <c r="F187" s="452" t="s">
        <v>601</v>
      </c>
      <c r="G187" s="424"/>
      <c r="H187" s="426" t="s">
        <v>1727</v>
      </c>
      <c r="I187" s="443"/>
    </row>
    <row r="188" spans="3:9" ht="15" hidden="1" customHeight="1" x14ac:dyDescent="0.25">
      <c r="C188" s="423">
        <f>VLOOKUP(Tabla1322[[#This Row],[Código INDRA]],Tabla13[[Código Indra]:[ID2]],24,FALSE)</f>
        <v>321</v>
      </c>
      <c r="D188" s="424">
        <v>45659</v>
      </c>
      <c r="E188" s="428" t="s">
        <v>1051</v>
      </c>
      <c r="F188" s="452" t="s">
        <v>1862</v>
      </c>
      <c r="G188" s="424"/>
      <c r="H188" s="426" t="s">
        <v>1727</v>
      </c>
      <c r="I188" s="443"/>
    </row>
    <row r="189" spans="3:9" ht="15" customHeight="1" x14ac:dyDescent="0.25">
      <c r="C189" s="423">
        <f>VLOOKUP(Tabla1322[[#This Row],[Código INDRA]],Tabla13[[Código Indra]:[ID2]],24,FALSE)</f>
        <v>324</v>
      </c>
      <c r="D189" s="424">
        <v>45628</v>
      </c>
      <c r="E189" s="428" t="s">
        <v>1391</v>
      </c>
      <c r="F189" s="426" t="s">
        <v>1863</v>
      </c>
      <c r="G189" s="424" t="s">
        <v>1582</v>
      </c>
      <c r="H189" s="426" t="s">
        <v>1864</v>
      </c>
      <c r="I189" s="443"/>
    </row>
    <row r="190" spans="3:9" ht="15" hidden="1" customHeight="1" x14ac:dyDescent="0.25">
      <c r="C190" s="423">
        <f>VLOOKUP(Tabla1322[[#This Row],[Código INDRA]],Tabla13[[Código Indra]:[ID2]],24,FALSE)</f>
        <v>327</v>
      </c>
      <c r="D190" s="424"/>
      <c r="E190" s="428" t="s">
        <v>1865</v>
      </c>
      <c r="F190" s="426" t="s">
        <v>961</v>
      </c>
      <c r="G190" s="426" t="s">
        <v>1436</v>
      </c>
      <c r="H190" s="426" t="s">
        <v>1866</v>
      </c>
      <c r="I190" s="443" t="s">
        <v>1867</v>
      </c>
    </row>
    <row r="191" spans="3:9" ht="15" hidden="1" customHeight="1" x14ac:dyDescent="0.25">
      <c r="C191" s="423">
        <f>VLOOKUP(Tabla1322[[#This Row],[Código INDRA]],Tabla13[[Código Indra]:[ID2]],24,FALSE)</f>
        <v>328</v>
      </c>
      <c r="D191" s="424"/>
      <c r="E191" s="428" t="s">
        <v>118</v>
      </c>
      <c r="F191" s="426" t="s">
        <v>119</v>
      </c>
      <c r="G191" s="426" t="s">
        <v>1436</v>
      </c>
      <c r="H191" s="426" t="s">
        <v>1868</v>
      </c>
      <c r="I191" s="443" t="s">
        <v>1869</v>
      </c>
    </row>
    <row r="192" spans="3:9" ht="15" customHeight="1" x14ac:dyDescent="0.25">
      <c r="C192" s="423">
        <f>VLOOKUP(Tabla1322[[#This Row],[Código INDRA]],Tabla13[[Código Indra]:[ID2]],24,FALSE)</f>
        <v>330</v>
      </c>
      <c r="D192" s="424">
        <v>46000</v>
      </c>
      <c r="E192" s="428" t="s">
        <v>169</v>
      </c>
      <c r="F192" s="452" t="s">
        <v>170</v>
      </c>
      <c r="G192" s="426" t="s">
        <v>1582</v>
      </c>
      <c r="H192" s="426" t="s">
        <v>1870</v>
      </c>
      <c r="I192" s="443"/>
    </row>
    <row r="193" spans="3:9" ht="15" hidden="1" customHeight="1" x14ac:dyDescent="0.25">
      <c r="C193" s="427">
        <f>VLOOKUP(Tabla1322[[#This Row],[Código INDRA]],Tabla13[[Código Indra]:[ID2]],24,FALSE)</f>
        <v>361</v>
      </c>
      <c r="D193" s="424">
        <v>45659</v>
      </c>
      <c r="E193" s="428" t="s">
        <v>105</v>
      </c>
      <c r="F193" s="452" t="s">
        <v>106</v>
      </c>
      <c r="G193" s="424"/>
      <c r="H193" s="426" t="s">
        <v>1727</v>
      </c>
      <c r="I193" s="443" t="s">
        <v>1871</v>
      </c>
    </row>
    <row r="194" spans="3:9" ht="15" customHeight="1" x14ac:dyDescent="0.25">
      <c r="C194" s="423" t="e">
        <f>VLOOKUP(Tabla1322[[#This Row],[Código INDRA]],Tabla13[[Código Indra]:[ID2]],24,FALSE)</f>
        <v>#N/A</v>
      </c>
      <c r="D194" s="424">
        <v>46000</v>
      </c>
      <c r="E194" s="428">
        <v>973545030301</v>
      </c>
      <c r="F194" s="452" t="s">
        <v>775</v>
      </c>
      <c r="G194" s="426" t="s">
        <v>1582</v>
      </c>
      <c r="H194" s="426" t="s">
        <v>1872</v>
      </c>
      <c r="I194" s="443"/>
    </row>
    <row r="195" spans="3:9" ht="15" hidden="1" customHeight="1" x14ac:dyDescent="0.25">
      <c r="C195" s="423">
        <f>VLOOKUP(Tabla1322[[#This Row],[Código INDRA]],Tabla13[[Código Indra]:[ID2]],24,FALSE)</f>
        <v>374</v>
      </c>
      <c r="D195" s="424">
        <v>45659</v>
      </c>
      <c r="E195" s="428" t="s">
        <v>178</v>
      </c>
      <c r="F195" s="452" t="s">
        <v>179</v>
      </c>
      <c r="G195" s="424"/>
      <c r="H195" s="426" t="s">
        <v>1727</v>
      </c>
      <c r="I195" s="443" t="s">
        <v>1873</v>
      </c>
    </row>
    <row r="196" spans="3:9" ht="15" hidden="1" customHeight="1" x14ac:dyDescent="0.25">
      <c r="C196" s="423">
        <f>VLOOKUP(Tabla1322[[#This Row],[Código INDRA]],Tabla13[[Código Indra]:[ID2]],24,FALSE)</f>
        <v>374</v>
      </c>
      <c r="D196" s="424">
        <v>45698</v>
      </c>
      <c r="E196" s="428" t="s">
        <v>178</v>
      </c>
      <c r="F196" s="426" t="s">
        <v>179</v>
      </c>
      <c r="G196" s="426" t="s">
        <v>1436</v>
      </c>
      <c r="H196" s="426" t="s">
        <v>1874</v>
      </c>
      <c r="I196" s="443" t="s">
        <v>1873</v>
      </c>
    </row>
    <row r="197" spans="3:9" ht="15" customHeight="1" x14ac:dyDescent="0.25">
      <c r="C197" s="423">
        <f>VLOOKUP(Tabla1322[[#This Row],[Código INDRA]],Tabla13[[Código Indra]:[ID2]],24,FALSE)</f>
        <v>375</v>
      </c>
      <c r="D197" s="424">
        <v>46000</v>
      </c>
      <c r="E197" s="428" t="s">
        <v>905</v>
      </c>
      <c r="F197" s="452" t="s">
        <v>1875</v>
      </c>
      <c r="G197" s="426" t="s">
        <v>1582</v>
      </c>
      <c r="H197" s="426" t="s">
        <v>1876</v>
      </c>
      <c r="I197" s="443" t="s">
        <v>1877</v>
      </c>
    </row>
    <row r="198" spans="3:9" ht="15" hidden="1" customHeight="1" x14ac:dyDescent="0.25">
      <c r="C198" s="427">
        <f>VLOOKUP(Tabla1322[[#This Row],[Código INDRA]],Tabla13[[Código Indra]:[ID2]],24,FALSE)</f>
        <v>378</v>
      </c>
      <c r="D198" s="424">
        <v>45698</v>
      </c>
      <c r="E198" s="428" t="s">
        <v>172</v>
      </c>
      <c r="F198" s="426" t="s">
        <v>173</v>
      </c>
      <c r="G198" s="426" t="s">
        <v>1436</v>
      </c>
      <c r="H198" s="426" t="s">
        <v>1874</v>
      </c>
      <c r="I198" s="443" t="s">
        <v>1873</v>
      </c>
    </row>
    <row r="199" spans="3:9" ht="15" customHeight="1" x14ac:dyDescent="0.25">
      <c r="C199" s="423">
        <f>VLOOKUP(Tabla1322[[#This Row],[Código INDRA]],Tabla13[[Código Indra]:[ID2]],24,FALSE)</f>
        <v>382</v>
      </c>
      <c r="D199" s="424">
        <v>45700</v>
      </c>
      <c r="E199" s="428" t="s">
        <v>1878</v>
      </c>
      <c r="F199" s="452" t="s">
        <v>1879</v>
      </c>
      <c r="G199" s="426" t="s">
        <v>1436</v>
      </c>
      <c r="H199" s="426" t="s">
        <v>1880</v>
      </c>
      <c r="I199" s="443" t="s">
        <v>1877</v>
      </c>
    </row>
    <row r="200" spans="3:9" ht="15" customHeight="1" x14ac:dyDescent="0.25">
      <c r="C200" s="423">
        <f>VLOOKUP(Tabla1322[[#This Row],[Código INDRA]],Tabla13[[Código Indra]:[ID2]],24,FALSE)</f>
        <v>383</v>
      </c>
      <c r="D200" s="424">
        <v>45700</v>
      </c>
      <c r="E200" s="428" t="s">
        <v>1881</v>
      </c>
      <c r="F200" s="452" t="s">
        <v>1882</v>
      </c>
      <c r="G200" s="426" t="s">
        <v>1582</v>
      </c>
      <c r="H200" s="426" t="s">
        <v>1883</v>
      </c>
      <c r="I200" s="443" t="s">
        <v>1877</v>
      </c>
    </row>
    <row r="201" spans="3:9" ht="15" hidden="1" customHeight="1" x14ac:dyDescent="0.25">
      <c r="C201" s="423">
        <f>VLOOKUP(Tabla1322[[#This Row],[Código INDRA]],Tabla13[[Código Indra]:[ID2]],24,FALSE)</f>
        <v>385</v>
      </c>
      <c r="D201" s="424">
        <v>45659</v>
      </c>
      <c r="E201" s="428" t="s">
        <v>95</v>
      </c>
      <c r="F201" s="452" t="s">
        <v>1884</v>
      </c>
      <c r="G201" s="424"/>
      <c r="H201" s="426" t="s">
        <v>1727</v>
      </c>
      <c r="I201" s="443" t="s">
        <v>1885</v>
      </c>
    </row>
    <row r="202" spans="3:9" ht="15" hidden="1" customHeight="1" x14ac:dyDescent="0.25">
      <c r="C202" s="423">
        <f>VLOOKUP(Tabla1322[[#This Row],[Código INDRA]],Tabla13[[Código Indra]:[ID2]],24,FALSE)</f>
        <v>385</v>
      </c>
      <c r="D202" s="424">
        <v>45698</v>
      </c>
      <c r="E202" s="428" t="s">
        <v>95</v>
      </c>
      <c r="F202" s="426" t="s">
        <v>96</v>
      </c>
      <c r="G202" s="426" t="s">
        <v>1436</v>
      </c>
      <c r="H202" s="426" t="s">
        <v>1874</v>
      </c>
      <c r="I202" s="443" t="s">
        <v>1885</v>
      </c>
    </row>
    <row r="203" spans="3:9" ht="15" hidden="1" customHeight="1" x14ac:dyDescent="0.25">
      <c r="C203" s="423">
        <f>VLOOKUP(Tabla1322[[#This Row],[Código INDRA]],Tabla13[[Código Indra]:[ID2]],24,FALSE)</f>
        <v>388</v>
      </c>
      <c r="D203" s="424">
        <v>45635</v>
      </c>
      <c r="E203" s="428" t="s">
        <v>810</v>
      </c>
      <c r="F203" s="426" t="s">
        <v>811</v>
      </c>
      <c r="G203" s="426" t="s">
        <v>1436</v>
      </c>
      <c r="H203" s="426" t="s">
        <v>1886</v>
      </c>
      <c r="I203" s="443" t="s">
        <v>1721</v>
      </c>
    </row>
    <row r="204" spans="3:9" ht="15" hidden="1" customHeight="1" x14ac:dyDescent="0.25">
      <c r="C204" s="427">
        <f>VLOOKUP(Tabla1322[[#This Row],[Código INDRA]],Tabla13[[Código Indra]:[ID2]],24,FALSE)</f>
        <v>390</v>
      </c>
      <c r="D204" s="424">
        <v>45659</v>
      </c>
      <c r="E204" s="428" t="s">
        <v>52</v>
      </c>
      <c r="F204" s="452" t="s">
        <v>53</v>
      </c>
      <c r="G204" s="424"/>
      <c r="H204" s="426" t="s">
        <v>1727</v>
      </c>
      <c r="I204" s="443" t="s">
        <v>1887</v>
      </c>
    </row>
    <row r="205" spans="3:9" ht="15" hidden="1" customHeight="1" x14ac:dyDescent="0.25">
      <c r="C205" s="423">
        <f>VLOOKUP(Tabla1322[[#This Row],[Código INDRA]],Tabla13[[Código Indra]:[ID2]],24,FALSE)</f>
        <v>390</v>
      </c>
      <c r="D205" s="424">
        <v>45698</v>
      </c>
      <c r="E205" s="428" t="s">
        <v>52</v>
      </c>
      <c r="F205" s="426" t="s">
        <v>53</v>
      </c>
      <c r="G205" s="426" t="s">
        <v>1436</v>
      </c>
      <c r="H205" s="426" t="s">
        <v>1888</v>
      </c>
      <c r="I205" s="443" t="s">
        <v>1887</v>
      </c>
    </row>
    <row r="206" spans="3:9" ht="15" hidden="1" customHeight="1" x14ac:dyDescent="0.25">
      <c r="C206" s="423">
        <f>VLOOKUP(Tabla1322[[#This Row],[Código INDRA]],Tabla13[[Código Indra]:[ID2]],24,FALSE)</f>
        <v>391</v>
      </c>
      <c r="D206" s="424">
        <v>45643</v>
      </c>
      <c r="E206" s="428" t="s">
        <v>917</v>
      </c>
      <c r="F206" s="426" t="s">
        <v>918</v>
      </c>
      <c r="G206" s="426" t="s">
        <v>1436</v>
      </c>
      <c r="H206" s="426" t="s">
        <v>1889</v>
      </c>
      <c r="I206" s="443" t="s">
        <v>1890</v>
      </c>
    </row>
    <row r="207" spans="3:9" ht="15" hidden="1" customHeight="1" x14ac:dyDescent="0.25">
      <c r="C207" s="423">
        <f>VLOOKUP(Tabla1322[[#This Row],[Código INDRA]],Tabla13[[Código Indra]:[ID2]],24,FALSE)</f>
        <v>391</v>
      </c>
      <c r="D207" s="424">
        <v>45643</v>
      </c>
      <c r="E207" s="428" t="s">
        <v>917</v>
      </c>
      <c r="F207" s="426" t="s">
        <v>918</v>
      </c>
      <c r="G207" s="426" t="s">
        <v>1436</v>
      </c>
      <c r="H207" s="426" t="s">
        <v>1889</v>
      </c>
      <c r="I207" s="443" t="s">
        <v>1891</v>
      </c>
    </row>
    <row r="208" spans="3:9" ht="15" hidden="1" customHeight="1" x14ac:dyDescent="0.25">
      <c r="C208" s="423">
        <f>VLOOKUP(Tabla1322[[#This Row],[Código INDRA]],Tabla13[[Código Indra]:[ID2]],24,FALSE)</f>
        <v>411</v>
      </c>
      <c r="D208" s="424"/>
      <c r="E208" s="428" t="s">
        <v>1018</v>
      </c>
      <c r="F208" s="426" t="s">
        <v>1019</v>
      </c>
      <c r="G208" s="426" t="s">
        <v>1436</v>
      </c>
      <c r="H208" s="426" t="s">
        <v>1892</v>
      </c>
      <c r="I208" s="443" t="s">
        <v>1893</v>
      </c>
    </row>
    <row r="209" spans="3:9" ht="15" hidden="1" customHeight="1" x14ac:dyDescent="0.25">
      <c r="C209" s="423">
        <f>VLOOKUP(Tabla1322[[#This Row],[Código INDRA]],Tabla13[[Código Indra]:[ID2]],24,FALSE)</f>
        <v>418</v>
      </c>
      <c r="D209" s="424">
        <v>45614</v>
      </c>
      <c r="E209" s="428" t="s">
        <v>1041</v>
      </c>
      <c r="F209" s="426" t="s">
        <v>1042</v>
      </c>
      <c r="G209" s="426" t="s">
        <v>1436</v>
      </c>
      <c r="H209" s="426" t="s">
        <v>1894</v>
      </c>
      <c r="I209" s="443" t="s">
        <v>1838</v>
      </c>
    </row>
    <row r="210" spans="3:9" ht="15" hidden="1" customHeight="1" x14ac:dyDescent="0.25">
      <c r="C210" s="423">
        <f>VLOOKUP(Tabla1322[[#This Row],[Código INDRA]],Tabla13[[Código Indra]:[ID2]],24,FALSE)</f>
        <v>418</v>
      </c>
      <c r="D210" s="424">
        <v>45614</v>
      </c>
      <c r="E210" s="428" t="s">
        <v>1041</v>
      </c>
      <c r="F210" s="426" t="s">
        <v>1042</v>
      </c>
      <c r="G210" s="426" t="s">
        <v>1436</v>
      </c>
      <c r="H210" s="426" t="s">
        <v>1894</v>
      </c>
      <c r="I210" s="443" t="s">
        <v>1838</v>
      </c>
    </row>
    <row r="211" spans="3:9" ht="15" hidden="1" customHeight="1" x14ac:dyDescent="0.25">
      <c r="C211" s="427">
        <f>VLOOKUP(Tabla1322[[#This Row],[Código INDRA]],Tabla13[[Código Indra]:[ID2]],24,FALSE)</f>
        <v>419</v>
      </c>
      <c r="D211" s="424">
        <v>45659</v>
      </c>
      <c r="E211" s="428" t="s">
        <v>19</v>
      </c>
      <c r="F211" s="452" t="s">
        <v>20</v>
      </c>
      <c r="G211" s="424"/>
      <c r="H211" s="426" t="s">
        <v>1727</v>
      </c>
      <c r="I211" s="443" t="s">
        <v>1895</v>
      </c>
    </row>
    <row r="212" spans="3:9" ht="15" hidden="1" customHeight="1" x14ac:dyDescent="0.25">
      <c r="C212" s="427">
        <f>VLOOKUP(Tabla1322[[#This Row],[Código INDRA]],Tabla13[[Código Indra]:[ID2]],24,FALSE)</f>
        <v>419</v>
      </c>
      <c r="D212" s="424">
        <v>45597</v>
      </c>
      <c r="E212" s="428" t="s">
        <v>19</v>
      </c>
      <c r="F212" s="426" t="s">
        <v>20</v>
      </c>
      <c r="G212" s="426" t="s">
        <v>1436</v>
      </c>
      <c r="H212" s="426" t="s">
        <v>1896</v>
      </c>
      <c r="I212" s="443" t="s">
        <v>1895</v>
      </c>
    </row>
    <row r="213" spans="3:9" ht="15" hidden="1" customHeight="1" x14ac:dyDescent="0.25">
      <c r="C213" s="427">
        <f>VLOOKUP(Tabla1322[[#This Row],[Código INDRA]],Tabla13[[Código Indra]:[ID2]],24,FALSE)</f>
        <v>419</v>
      </c>
      <c r="D213" s="424">
        <v>45597</v>
      </c>
      <c r="E213" s="428" t="s">
        <v>19</v>
      </c>
      <c r="F213" s="426" t="s">
        <v>20</v>
      </c>
      <c r="G213" s="426" t="s">
        <v>1436</v>
      </c>
      <c r="H213" s="426" t="s">
        <v>1897</v>
      </c>
      <c r="I213" s="443" t="s">
        <v>1895</v>
      </c>
    </row>
    <row r="214" spans="3:9" ht="15" hidden="1" customHeight="1" x14ac:dyDescent="0.25">
      <c r="C214" s="427">
        <f>VLOOKUP(Tabla1322[[#This Row],[Código INDRA]],Tabla13[[Código Indra]:[ID2]],24,FALSE)</f>
        <v>419</v>
      </c>
      <c r="D214" s="424">
        <v>45597</v>
      </c>
      <c r="E214" s="428" t="s">
        <v>19</v>
      </c>
      <c r="F214" s="426" t="s">
        <v>20</v>
      </c>
      <c r="G214" s="426" t="s">
        <v>1436</v>
      </c>
      <c r="H214" s="426" t="s">
        <v>1898</v>
      </c>
      <c r="I214" s="443" t="s">
        <v>1895</v>
      </c>
    </row>
    <row r="215" spans="3:9" ht="15" hidden="1" customHeight="1" x14ac:dyDescent="0.25">
      <c r="C215" s="427">
        <f>VLOOKUP(Tabla1322[[#This Row],[Código INDRA]],Tabla13[[Código Indra]:[ID2]],24,FALSE)</f>
        <v>419</v>
      </c>
      <c r="D215" s="424">
        <v>45597</v>
      </c>
      <c r="E215" s="428" t="s">
        <v>19</v>
      </c>
      <c r="F215" s="426" t="s">
        <v>20</v>
      </c>
      <c r="G215" s="426" t="s">
        <v>1436</v>
      </c>
      <c r="H215" s="426" t="s">
        <v>1899</v>
      </c>
      <c r="I215" s="443" t="s">
        <v>1895</v>
      </c>
    </row>
    <row r="216" spans="3:9" ht="15" hidden="1" customHeight="1" x14ac:dyDescent="0.25">
      <c r="C216" s="423">
        <f>VLOOKUP(Tabla1322[[#This Row],[Código INDRA]],Tabla13[[Código Indra]:[ID2]],24,FALSE)</f>
        <v>419</v>
      </c>
      <c r="D216" s="424">
        <v>45597</v>
      </c>
      <c r="E216" s="428" t="s">
        <v>19</v>
      </c>
      <c r="F216" s="426" t="s">
        <v>20</v>
      </c>
      <c r="G216" s="426" t="s">
        <v>1436</v>
      </c>
      <c r="H216" s="426" t="s">
        <v>1900</v>
      </c>
      <c r="I216" s="443" t="s">
        <v>1895</v>
      </c>
    </row>
    <row r="217" spans="3:9" ht="15" hidden="1" customHeight="1" x14ac:dyDescent="0.25">
      <c r="C217" s="423">
        <f>VLOOKUP(Tabla1322[[#This Row],[Código INDRA]],Tabla13[[Código Indra]:[ID2]],24,FALSE)</f>
        <v>419</v>
      </c>
      <c r="D217" s="424">
        <v>45597</v>
      </c>
      <c r="E217" s="428" t="s">
        <v>19</v>
      </c>
      <c r="F217" s="426" t="s">
        <v>20</v>
      </c>
      <c r="G217" s="426" t="s">
        <v>1436</v>
      </c>
      <c r="H217" s="426" t="s">
        <v>1901</v>
      </c>
      <c r="I217" s="443" t="s">
        <v>1895</v>
      </c>
    </row>
    <row r="218" spans="3:9" ht="15" hidden="1" customHeight="1" x14ac:dyDescent="0.25">
      <c r="C218" s="423">
        <f>VLOOKUP(Tabla1322[[#This Row],[Código INDRA]],Tabla13[[Código Indra]:[ID2]],24,FALSE)</f>
        <v>419</v>
      </c>
      <c r="D218" s="424">
        <v>45597</v>
      </c>
      <c r="E218" s="428" t="s">
        <v>19</v>
      </c>
      <c r="F218" s="426" t="s">
        <v>20</v>
      </c>
      <c r="G218" s="426" t="s">
        <v>1436</v>
      </c>
      <c r="H218" s="426" t="s">
        <v>1902</v>
      </c>
      <c r="I218" s="443" t="s">
        <v>1903</v>
      </c>
    </row>
    <row r="219" spans="3:9" ht="15" hidden="1" customHeight="1" x14ac:dyDescent="0.25">
      <c r="C219" s="427">
        <f>VLOOKUP(Tabla1322[[#This Row],[Código INDRA]],Tabla13[[Código Indra]:[ID2]],24,FALSE)</f>
        <v>419</v>
      </c>
      <c r="D219" s="424">
        <v>45597</v>
      </c>
      <c r="E219" s="428" t="s">
        <v>19</v>
      </c>
      <c r="F219" s="426" t="s">
        <v>20</v>
      </c>
      <c r="G219" s="426" t="s">
        <v>1436</v>
      </c>
      <c r="H219" s="426" t="s">
        <v>1904</v>
      </c>
      <c r="I219" s="443" t="s">
        <v>1895</v>
      </c>
    </row>
    <row r="220" spans="3:9" ht="15" hidden="1" customHeight="1" x14ac:dyDescent="0.25">
      <c r="C220" s="423">
        <f>VLOOKUP(Tabla1322[[#This Row],[Código INDRA]],Tabla13[[Código Indra]:[ID2]],24,FALSE)</f>
        <v>419</v>
      </c>
      <c r="D220" s="424">
        <v>45597</v>
      </c>
      <c r="E220" s="428" t="s">
        <v>19</v>
      </c>
      <c r="F220" s="426" t="s">
        <v>20</v>
      </c>
      <c r="G220" s="426" t="s">
        <v>1436</v>
      </c>
      <c r="H220" s="426" t="s">
        <v>1905</v>
      </c>
      <c r="I220" s="443" t="s">
        <v>1895</v>
      </c>
    </row>
    <row r="221" spans="3:9" ht="15" hidden="1" customHeight="1" x14ac:dyDescent="0.25">
      <c r="C221" s="423">
        <f>VLOOKUP(Tabla1322[[#This Row],[Código INDRA]],Tabla13[[Código Indra]:[ID2]],24,FALSE)</f>
        <v>419</v>
      </c>
      <c r="D221" s="424">
        <v>45597</v>
      </c>
      <c r="E221" s="428" t="s">
        <v>19</v>
      </c>
      <c r="F221" s="426" t="s">
        <v>20</v>
      </c>
      <c r="G221" s="426" t="s">
        <v>1436</v>
      </c>
      <c r="H221" s="426" t="s">
        <v>1906</v>
      </c>
      <c r="I221" s="443" t="s">
        <v>1907</v>
      </c>
    </row>
    <row r="222" spans="3:9" ht="15" hidden="1" customHeight="1" x14ac:dyDescent="0.25">
      <c r="C222" s="423">
        <f>VLOOKUP(Tabla1322[[#This Row],[Código INDRA]],Tabla13[[Código Indra]:[ID2]],24,FALSE)</f>
        <v>419</v>
      </c>
      <c r="D222" s="424">
        <v>45597</v>
      </c>
      <c r="E222" s="428" t="s">
        <v>19</v>
      </c>
      <c r="F222" s="426" t="s">
        <v>20</v>
      </c>
      <c r="G222" s="426" t="s">
        <v>1436</v>
      </c>
      <c r="H222" s="426" t="s">
        <v>1908</v>
      </c>
      <c r="I222" s="443" t="s">
        <v>1895</v>
      </c>
    </row>
    <row r="223" spans="3:9" ht="15" hidden="1" customHeight="1" x14ac:dyDescent="0.25">
      <c r="C223" s="427">
        <f>VLOOKUP(Tabla1322[[#This Row],[Código INDRA]],Tabla13[[Código Indra]:[ID2]],24,FALSE)</f>
        <v>420</v>
      </c>
      <c r="D223" s="424">
        <v>45659</v>
      </c>
      <c r="E223" s="428" t="s">
        <v>197</v>
      </c>
      <c r="F223" s="452" t="s">
        <v>198</v>
      </c>
      <c r="G223" s="424"/>
      <c r="H223" s="426" t="s">
        <v>1727</v>
      </c>
      <c r="I223" s="443" t="s">
        <v>1909</v>
      </c>
    </row>
    <row r="224" spans="3:9" ht="15" hidden="1" customHeight="1" x14ac:dyDescent="0.25">
      <c r="C224" s="423">
        <f>VLOOKUP(Tabla1322[[#This Row],[Código INDRA]],Tabla13[[Código Indra]:[ID2]],24,FALSE)</f>
        <v>421</v>
      </c>
      <c r="D224" s="424">
        <v>45659</v>
      </c>
      <c r="E224" s="428" t="s">
        <v>199</v>
      </c>
      <c r="F224" s="452" t="s">
        <v>1444</v>
      </c>
      <c r="G224" s="424"/>
      <c r="H224" s="426" t="s">
        <v>1727</v>
      </c>
      <c r="I224" s="443" t="s">
        <v>1909</v>
      </c>
    </row>
    <row r="225" spans="3:9" ht="15" hidden="1" customHeight="1" x14ac:dyDescent="0.25">
      <c r="C225" s="423">
        <f>VLOOKUP(Tabla1322[[#This Row],[Código INDRA]],Tabla13[[Código Indra]:[ID2]],24,FALSE)</f>
        <v>428</v>
      </c>
      <c r="D225" s="424">
        <v>45659</v>
      </c>
      <c r="E225" s="428" t="s">
        <v>201</v>
      </c>
      <c r="F225" s="452" t="s">
        <v>202</v>
      </c>
      <c r="G225" s="424"/>
      <c r="H225" s="426" t="s">
        <v>1727</v>
      </c>
      <c r="I225" s="443" t="s">
        <v>1909</v>
      </c>
    </row>
    <row r="226" spans="3:9" ht="15" hidden="1" customHeight="1" x14ac:dyDescent="0.25">
      <c r="C226" s="423">
        <f>VLOOKUP(Tabla1322[[#This Row],[Código INDRA]],Tabla13[[Código Indra]:[ID2]],24,FALSE)</f>
        <v>431</v>
      </c>
      <c r="D226" s="424">
        <v>45659</v>
      </c>
      <c r="E226" s="428" t="s">
        <v>203</v>
      </c>
      <c r="F226" s="452" t="s">
        <v>204</v>
      </c>
      <c r="G226" s="424"/>
      <c r="H226" s="426" t="s">
        <v>1727</v>
      </c>
      <c r="I226" s="443" t="s">
        <v>1909</v>
      </c>
    </row>
    <row r="227" spans="3:9" ht="15" hidden="1" customHeight="1" x14ac:dyDescent="0.25">
      <c r="C227" s="423">
        <f>VLOOKUP(Tabla1322[[#This Row],[Código INDRA]],Tabla13[[Código Indra]:[ID2]],24,FALSE)</f>
        <v>446</v>
      </c>
      <c r="D227" s="424">
        <v>45659</v>
      </c>
      <c r="E227" s="428" t="s">
        <v>205</v>
      </c>
      <c r="F227" s="452" t="s">
        <v>1910</v>
      </c>
      <c r="G227" s="424"/>
      <c r="H227" s="426" t="s">
        <v>1727</v>
      </c>
      <c r="I227" s="443" t="s">
        <v>1909</v>
      </c>
    </row>
    <row r="228" spans="3:9" ht="15" hidden="1" customHeight="1" x14ac:dyDescent="0.25">
      <c r="C228" s="423">
        <f>VLOOKUP(Tabla1322[[#This Row],[Código INDRA]],Tabla13[[Código Indra]:[ID2]],24,FALSE)</f>
        <v>448</v>
      </c>
      <c r="D228" s="424">
        <v>45659</v>
      </c>
      <c r="E228" s="428" t="s">
        <v>207</v>
      </c>
      <c r="F228" s="452" t="s">
        <v>208</v>
      </c>
      <c r="G228" s="424"/>
      <c r="H228" s="426" t="s">
        <v>1727</v>
      </c>
      <c r="I228" s="443" t="s">
        <v>1909</v>
      </c>
    </row>
    <row r="229" spans="3:9" ht="15" hidden="1" customHeight="1" x14ac:dyDescent="0.25">
      <c r="C229" s="423">
        <f>VLOOKUP(Tabla1322[[#This Row],[Código INDRA]],Tabla13[[Código Indra]:[ID2]],24,FALSE)</f>
        <v>449</v>
      </c>
      <c r="D229" s="424">
        <v>45659</v>
      </c>
      <c r="E229" s="428" t="s">
        <v>1446</v>
      </c>
      <c r="F229" s="452" t="s">
        <v>1911</v>
      </c>
      <c r="G229" s="424"/>
      <c r="H229" s="426" t="s">
        <v>1727</v>
      </c>
      <c r="I229" s="443" t="s">
        <v>1909</v>
      </c>
    </row>
    <row r="230" spans="3:9" ht="15" hidden="1" customHeight="1" x14ac:dyDescent="0.25">
      <c r="C230" s="423">
        <f>VLOOKUP(Tabla1322[[#This Row],[Código INDRA]],Tabla13[[Código Indra]:[ID2]],24,FALSE)</f>
        <v>454</v>
      </c>
      <c r="D230" s="424">
        <v>45659</v>
      </c>
      <c r="E230" s="428" t="s">
        <v>158</v>
      </c>
      <c r="F230" s="452" t="s">
        <v>159</v>
      </c>
      <c r="G230" s="424"/>
      <c r="H230" s="426" t="s">
        <v>1727</v>
      </c>
      <c r="I230" s="443" t="s">
        <v>1912</v>
      </c>
    </row>
    <row r="231" spans="3:9" ht="15" hidden="1" customHeight="1" x14ac:dyDescent="0.25">
      <c r="C231" s="423">
        <f>VLOOKUP(Tabla1322[[#This Row],[Código INDRA]],Tabla13[[Código Indra]:[ID2]],24,FALSE)</f>
        <v>454</v>
      </c>
      <c r="D231" s="424">
        <v>45698</v>
      </c>
      <c r="E231" s="428" t="s">
        <v>158</v>
      </c>
      <c r="F231" s="426" t="s">
        <v>159</v>
      </c>
      <c r="G231" s="426" t="s">
        <v>1436</v>
      </c>
      <c r="H231" s="426" t="s">
        <v>1874</v>
      </c>
      <c r="I231" s="443" t="s">
        <v>1912</v>
      </c>
    </row>
    <row r="232" spans="3:9" ht="15" hidden="1" customHeight="1" x14ac:dyDescent="0.25">
      <c r="C232" s="427">
        <f>VLOOKUP(Tabla1322[[#This Row],[Código INDRA]],Tabla13[[Código Indra]:[ID2]],24,FALSE)</f>
        <v>455</v>
      </c>
      <c r="D232" s="424">
        <v>45659</v>
      </c>
      <c r="E232" s="428" t="s">
        <v>160</v>
      </c>
      <c r="F232" s="452" t="s">
        <v>161</v>
      </c>
      <c r="G232" s="424"/>
      <c r="H232" s="426" t="s">
        <v>1727</v>
      </c>
      <c r="I232" s="443" t="s">
        <v>1912</v>
      </c>
    </row>
    <row r="233" spans="3:9" ht="15" hidden="1" customHeight="1" x14ac:dyDescent="0.25">
      <c r="C233" s="423">
        <f>VLOOKUP(Tabla1322[[#This Row],[Código INDRA]],Tabla13[[Código Indra]:[ID2]],24,FALSE)</f>
        <v>455</v>
      </c>
      <c r="D233" s="424">
        <v>45698</v>
      </c>
      <c r="E233" s="428" t="s">
        <v>160</v>
      </c>
      <c r="F233" s="426" t="s">
        <v>161</v>
      </c>
      <c r="G233" s="426" t="s">
        <v>1436</v>
      </c>
      <c r="H233" s="426" t="s">
        <v>1874</v>
      </c>
      <c r="I233" s="443" t="s">
        <v>1912</v>
      </c>
    </row>
    <row r="234" spans="3:9" ht="15" hidden="1" customHeight="1" x14ac:dyDescent="0.25">
      <c r="C234" s="423">
        <f>VLOOKUP(Tabla1322[[#This Row],[Código INDRA]],Tabla13[[Código Indra]:[ID2]],24,FALSE)</f>
        <v>464</v>
      </c>
      <c r="D234" s="424">
        <v>45659</v>
      </c>
      <c r="E234" s="428" t="s">
        <v>91</v>
      </c>
      <c r="F234" s="452" t="s">
        <v>92</v>
      </c>
      <c r="G234" s="424"/>
      <c r="H234" s="426" t="s">
        <v>1727</v>
      </c>
      <c r="I234" s="443" t="s">
        <v>1913</v>
      </c>
    </row>
    <row r="235" spans="3:9" ht="15" hidden="1" customHeight="1" x14ac:dyDescent="0.25">
      <c r="C235" s="423">
        <f>VLOOKUP(Tabla1322[[#This Row],[Código INDRA]],Tabla13[[Código Indra]:[ID2]],24,FALSE)</f>
        <v>464</v>
      </c>
      <c r="D235" s="424">
        <v>45698</v>
      </c>
      <c r="E235" s="428" t="s">
        <v>91</v>
      </c>
      <c r="F235" s="426" t="s">
        <v>92</v>
      </c>
      <c r="G235" s="426" t="s">
        <v>1436</v>
      </c>
      <c r="H235" s="426" t="s">
        <v>1874</v>
      </c>
      <c r="I235" s="443" t="s">
        <v>1913</v>
      </c>
    </row>
    <row r="236" spans="3:9" ht="15" hidden="1" customHeight="1" x14ac:dyDescent="0.25">
      <c r="C236" s="427">
        <f>VLOOKUP(Tabla1322[[#This Row],[Código INDRA]],Tabla13[[Código Indra]:[ID2]],24,FALSE)</f>
        <v>473</v>
      </c>
      <c r="D236" s="424">
        <v>45659</v>
      </c>
      <c r="E236" s="428" t="s">
        <v>93</v>
      </c>
      <c r="F236" s="452" t="s">
        <v>862</v>
      </c>
      <c r="G236" s="424"/>
      <c r="H236" s="426" t="s">
        <v>1727</v>
      </c>
      <c r="I236" s="443"/>
    </row>
    <row r="237" spans="3:9" ht="15" hidden="1" customHeight="1" x14ac:dyDescent="0.25">
      <c r="C237" s="427">
        <f>VLOOKUP(Tabla1322[[#This Row],[Código INDRA]],Tabla13[[Código Indra]:[ID2]],24,FALSE)</f>
        <v>473</v>
      </c>
      <c r="D237" s="424">
        <v>45698</v>
      </c>
      <c r="E237" s="428" t="s">
        <v>93</v>
      </c>
      <c r="F237" s="426" t="s">
        <v>94</v>
      </c>
      <c r="G237" s="426" t="s">
        <v>1436</v>
      </c>
      <c r="H237" s="426" t="s">
        <v>1874</v>
      </c>
      <c r="I237" s="443" t="s">
        <v>1582</v>
      </c>
    </row>
    <row r="238" spans="3:9" ht="15" hidden="1" customHeight="1" x14ac:dyDescent="0.25">
      <c r="C238" s="427">
        <f>VLOOKUP(Tabla1322[[#This Row],[Código INDRA]],Tabla13[[Código Indra]:[ID2]],24,FALSE)</f>
        <v>473</v>
      </c>
      <c r="D238" s="424">
        <v>45698</v>
      </c>
      <c r="E238" s="428" t="s">
        <v>93</v>
      </c>
      <c r="F238" s="426" t="s">
        <v>94</v>
      </c>
      <c r="G238" s="426" t="s">
        <v>1436</v>
      </c>
      <c r="H238" s="426" t="s">
        <v>1874</v>
      </c>
      <c r="I238" s="443" t="s">
        <v>1913</v>
      </c>
    </row>
    <row r="239" spans="3:9" ht="15" hidden="1" customHeight="1" x14ac:dyDescent="0.25">
      <c r="C239" s="423">
        <f>VLOOKUP(Tabla1322[[#This Row],[Código INDRA]],Tabla13[[Código Indra]:[ID2]],24,FALSE)</f>
        <v>475</v>
      </c>
      <c r="D239" s="424">
        <v>45630</v>
      </c>
      <c r="E239" s="428" t="s">
        <v>865</v>
      </c>
      <c r="F239" s="426" t="s">
        <v>866</v>
      </c>
      <c r="G239" s="426" t="s">
        <v>1436</v>
      </c>
      <c r="H239" s="426" t="s">
        <v>1914</v>
      </c>
      <c r="I239" s="443" t="s">
        <v>1915</v>
      </c>
    </row>
    <row r="240" spans="3:9" ht="15" hidden="1" customHeight="1" x14ac:dyDescent="0.25">
      <c r="C240" s="423">
        <f>VLOOKUP(Tabla1322[[#This Row],[Código INDRA]],Tabla13[[Código Indra]:[ID2]],24,FALSE)</f>
        <v>476</v>
      </c>
      <c r="D240" s="424">
        <v>45630</v>
      </c>
      <c r="E240" s="428" t="s">
        <v>869</v>
      </c>
      <c r="F240" s="426" t="s">
        <v>870</v>
      </c>
      <c r="G240" s="426" t="s">
        <v>1436</v>
      </c>
      <c r="H240" s="426" t="s">
        <v>1916</v>
      </c>
      <c r="I240" s="443" t="s">
        <v>1915</v>
      </c>
    </row>
    <row r="241" spans="3:9" ht="15" hidden="1" customHeight="1" x14ac:dyDescent="0.25">
      <c r="C241" s="423">
        <f>VLOOKUP(Tabla1322[[#This Row],[Código INDRA]],Tabla13[[Código Indra]:[ID2]],24,FALSE)</f>
        <v>482</v>
      </c>
      <c r="D241" s="424">
        <v>45659</v>
      </c>
      <c r="E241" s="428" t="s">
        <v>152</v>
      </c>
      <c r="F241" s="452" t="s">
        <v>153</v>
      </c>
      <c r="G241" s="424"/>
      <c r="H241" s="426" t="s">
        <v>1727</v>
      </c>
      <c r="I241" s="443" t="s">
        <v>1917</v>
      </c>
    </row>
    <row r="242" spans="3:9" ht="15" hidden="1" customHeight="1" x14ac:dyDescent="0.25">
      <c r="C242" s="423">
        <f>VLOOKUP(Tabla1322[[#This Row],[Código INDRA]],Tabla13[[Código Indra]:[ID2]],24,FALSE)</f>
        <v>482</v>
      </c>
      <c r="D242" s="424">
        <v>45698</v>
      </c>
      <c r="E242" s="428" t="s">
        <v>152</v>
      </c>
      <c r="F242" s="426" t="s">
        <v>153</v>
      </c>
      <c r="G242" s="426" t="s">
        <v>1436</v>
      </c>
      <c r="H242" s="426" t="s">
        <v>1874</v>
      </c>
      <c r="I242" s="443" t="s">
        <v>1917</v>
      </c>
    </row>
    <row r="243" spans="3:9" ht="15" hidden="1" customHeight="1" x14ac:dyDescent="0.25">
      <c r="C243" s="423">
        <f>VLOOKUP(Tabla1322[[#This Row],[Código INDRA]],Tabla13[[Código Indra]:[ID2]],24,FALSE)</f>
        <v>484</v>
      </c>
      <c r="D243" s="424"/>
      <c r="E243" s="428" t="s">
        <v>855</v>
      </c>
      <c r="F243" s="426" t="s">
        <v>116</v>
      </c>
      <c r="G243" s="426" t="s">
        <v>1436</v>
      </c>
      <c r="H243" s="426" t="s">
        <v>1866</v>
      </c>
      <c r="I243" s="443" t="s">
        <v>1918</v>
      </c>
    </row>
    <row r="244" spans="3:9" ht="15" hidden="1" customHeight="1" x14ac:dyDescent="0.25">
      <c r="C244" s="423">
        <f>VLOOKUP(Tabla1322[[#This Row],[Código INDRA]],Tabla13[[Código Indra]:[ID2]],24,FALSE)</f>
        <v>487</v>
      </c>
      <c r="D244" s="424">
        <v>45659</v>
      </c>
      <c r="E244" s="428" t="s">
        <v>636</v>
      </c>
      <c r="F244" s="452" t="s">
        <v>83</v>
      </c>
      <c r="G244" s="424"/>
      <c r="H244" s="426" t="s">
        <v>1727</v>
      </c>
      <c r="I244" s="443" t="s">
        <v>1919</v>
      </c>
    </row>
    <row r="245" spans="3:9" ht="15" hidden="1" customHeight="1" x14ac:dyDescent="0.25">
      <c r="C245" s="423">
        <f>VLOOKUP(Tabla1322[[#This Row],[Código INDRA]],Tabla13[[Código Indra]:[ID2]],24,FALSE)</f>
        <v>487</v>
      </c>
      <c r="D245" s="424">
        <v>45698</v>
      </c>
      <c r="E245" s="428" t="s">
        <v>636</v>
      </c>
      <c r="F245" s="426" t="s">
        <v>83</v>
      </c>
      <c r="G245" s="426" t="s">
        <v>1436</v>
      </c>
      <c r="H245" s="426" t="s">
        <v>1920</v>
      </c>
      <c r="I245" s="443" t="s">
        <v>1919</v>
      </c>
    </row>
    <row r="246" spans="3:9" ht="15" hidden="1" customHeight="1" x14ac:dyDescent="0.25">
      <c r="C246" s="423">
        <f>VLOOKUP(Tabla1322[[#This Row],[Código INDRA]],Tabla13[[Código Indra]:[ID2]],24,FALSE)</f>
        <v>488</v>
      </c>
      <c r="D246" s="424">
        <v>45698</v>
      </c>
      <c r="E246" s="428" t="s">
        <v>1086</v>
      </c>
      <c r="F246" s="426" t="s">
        <v>1087</v>
      </c>
      <c r="G246" s="426" t="s">
        <v>1436</v>
      </c>
      <c r="H246" s="426" t="s">
        <v>1921</v>
      </c>
      <c r="I246" s="443" t="s">
        <v>1922</v>
      </c>
    </row>
    <row r="247" spans="3:9" ht="15" hidden="1" customHeight="1" x14ac:dyDescent="0.25">
      <c r="C247" s="423">
        <f>VLOOKUP(Tabla1322[[#This Row],[Código INDRA]],Tabla13[[Código Indra]:[ID2]],24,FALSE)</f>
        <v>489</v>
      </c>
      <c r="D247" s="424">
        <v>45698</v>
      </c>
      <c r="E247" s="428" t="s">
        <v>1090</v>
      </c>
      <c r="F247" s="426" t="s">
        <v>1091</v>
      </c>
      <c r="G247" s="426" t="s">
        <v>1436</v>
      </c>
      <c r="H247" s="426" t="s">
        <v>1921</v>
      </c>
      <c r="I247" s="443" t="s">
        <v>1922</v>
      </c>
    </row>
    <row r="248" spans="3:9" ht="15" hidden="1" customHeight="1" x14ac:dyDescent="0.25">
      <c r="C248" s="423">
        <f>VLOOKUP(Tabla1322[[#This Row],[Código INDRA]],Tabla13[[Código Indra]:[ID2]],24,FALSE)</f>
        <v>490</v>
      </c>
      <c r="D248" s="424">
        <v>45698</v>
      </c>
      <c r="E248" s="428" t="s">
        <v>1094</v>
      </c>
      <c r="F248" s="426" t="s">
        <v>1095</v>
      </c>
      <c r="G248" s="426" t="s">
        <v>1436</v>
      </c>
      <c r="H248" s="426" t="s">
        <v>1921</v>
      </c>
      <c r="I248" s="443" t="s">
        <v>1922</v>
      </c>
    </row>
    <row r="249" spans="3:9" ht="15" hidden="1" customHeight="1" x14ac:dyDescent="0.25">
      <c r="C249" s="423">
        <f>VLOOKUP(Tabla1322[[#This Row],[Código INDRA]],Tabla13[[Código Indra]:[ID2]],24,FALSE)</f>
        <v>491</v>
      </c>
      <c r="D249" s="424">
        <v>45698</v>
      </c>
      <c r="E249" s="428" t="s">
        <v>1098</v>
      </c>
      <c r="F249" s="426" t="s">
        <v>1099</v>
      </c>
      <c r="G249" s="426" t="s">
        <v>1436</v>
      </c>
      <c r="H249" s="426" t="s">
        <v>1921</v>
      </c>
      <c r="I249" s="443" t="s">
        <v>1922</v>
      </c>
    </row>
    <row r="250" spans="3:9" ht="15" hidden="1" customHeight="1" x14ac:dyDescent="0.25">
      <c r="C250" s="423">
        <f>VLOOKUP(Tabla1322[[#This Row],[Código INDRA]],Tabla13[[Código Indra]:[ID2]],24,FALSE)</f>
        <v>492</v>
      </c>
      <c r="D250" s="424">
        <v>45698</v>
      </c>
      <c r="E250" s="428" t="s">
        <v>1102</v>
      </c>
      <c r="F250" s="426" t="s">
        <v>1103</v>
      </c>
      <c r="G250" s="426" t="s">
        <v>1436</v>
      </c>
      <c r="H250" s="426" t="s">
        <v>1921</v>
      </c>
      <c r="I250" s="443" t="s">
        <v>1922</v>
      </c>
    </row>
    <row r="251" spans="3:9" ht="15" hidden="1" customHeight="1" x14ac:dyDescent="0.25">
      <c r="C251" s="423">
        <f>VLOOKUP(Tabla1322[[#This Row],[Código INDRA]],Tabla13[[Código Indra]:[ID2]],24,FALSE)</f>
        <v>493</v>
      </c>
      <c r="D251" s="424">
        <v>45698</v>
      </c>
      <c r="E251" s="428" t="s">
        <v>1107</v>
      </c>
      <c r="F251" s="426" t="s">
        <v>1108</v>
      </c>
      <c r="G251" s="426" t="s">
        <v>1436</v>
      </c>
      <c r="H251" s="426" t="s">
        <v>1921</v>
      </c>
      <c r="I251" s="443" t="s">
        <v>1922</v>
      </c>
    </row>
    <row r="252" spans="3:9" ht="15" hidden="1" customHeight="1" x14ac:dyDescent="0.25">
      <c r="C252" s="423">
        <f>VLOOKUP(Tabla1322[[#This Row],[Código INDRA]],Tabla13[[Código Indra]:[ID2]],24,FALSE)</f>
        <v>494</v>
      </c>
      <c r="D252" s="424">
        <v>45698</v>
      </c>
      <c r="E252" s="428" t="s">
        <v>1112</v>
      </c>
      <c r="F252" s="426" t="s">
        <v>1113</v>
      </c>
      <c r="G252" s="426" t="s">
        <v>1436</v>
      </c>
      <c r="H252" s="426" t="s">
        <v>1921</v>
      </c>
      <c r="I252" s="443" t="s">
        <v>1922</v>
      </c>
    </row>
    <row r="253" spans="3:9" ht="15" hidden="1" customHeight="1" x14ac:dyDescent="0.25">
      <c r="C253" s="423">
        <f>VLOOKUP(Tabla1322[[#This Row],[Código INDRA]],Tabla13[[Código Indra]:[ID2]],24,FALSE)</f>
        <v>495</v>
      </c>
      <c r="D253" s="424">
        <v>45698</v>
      </c>
      <c r="E253" s="428" t="s">
        <v>1116</v>
      </c>
      <c r="F253" s="426" t="s">
        <v>1117</v>
      </c>
      <c r="G253" s="426" t="s">
        <v>1436</v>
      </c>
      <c r="H253" s="426" t="s">
        <v>1921</v>
      </c>
      <c r="I253" s="443" t="s">
        <v>1922</v>
      </c>
    </row>
    <row r="254" spans="3:9" ht="15" hidden="1" customHeight="1" x14ac:dyDescent="0.25">
      <c r="C254" s="423">
        <f>VLOOKUP(Tabla1322[[#This Row],[Código INDRA]],Tabla13[[Código Indra]:[ID2]],24,FALSE)</f>
        <v>496</v>
      </c>
      <c r="D254" s="424">
        <v>45635</v>
      </c>
      <c r="E254" s="428" t="s">
        <v>1137</v>
      </c>
      <c r="F254" s="426" t="s">
        <v>1138</v>
      </c>
      <c r="G254" s="426" t="s">
        <v>1436</v>
      </c>
      <c r="H254" s="426" t="s">
        <v>1923</v>
      </c>
      <c r="I254" s="443" t="s">
        <v>1924</v>
      </c>
    </row>
    <row r="255" spans="3:9" ht="15" hidden="1" customHeight="1" x14ac:dyDescent="0.25">
      <c r="C255" s="427">
        <f>VLOOKUP(Tabla1322[[#This Row],[Código INDRA]],Tabla13[[Código Indra]:[ID2]],24,FALSE)</f>
        <v>498</v>
      </c>
      <c r="D255" s="424">
        <v>45635</v>
      </c>
      <c r="E255" s="428" t="s">
        <v>1140</v>
      </c>
      <c r="F255" s="426" t="s">
        <v>1141</v>
      </c>
      <c r="G255" s="426" t="s">
        <v>1436</v>
      </c>
      <c r="H255" s="426" t="s">
        <v>1925</v>
      </c>
      <c r="I255" s="443" t="s">
        <v>1924</v>
      </c>
    </row>
    <row r="256" spans="3:9" ht="15" hidden="1" customHeight="1" x14ac:dyDescent="0.25">
      <c r="C256" s="423">
        <f>VLOOKUP(Tabla1322[[#This Row],[Código INDRA]],Tabla13[[Código Indra]:[ID2]],24,FALSE)</f>
        <v>500</v>
      </c>
      <c r="D256" s="424">
        <v>45635</v>
      </c>
      <c r="E256" s="428" t="s">
        <v>1143</v>
      </c>
      <c r="F256" s="426" t="s">
        <v>1144</v>
      </c>
      <c r="G256" s="426" t="s">
        <v>1436</v>
      </c>
      <c r="H256" s="426" t="s">
        <v>1926</v>
      </c>
      <c r="I256" s="443" t="s">
        <v>1927</v>
      </c>
    </row>
    <row r="257" spans="3:9" ht="15" hidden="1" customHeight="1" x14ac:dyDescent="0.25">
      <c r="C257" s="423">
        <f>VLOOKUP(Tabla1322[[#This Row],[Código INDRA]],Tabla13[[Código Indra]:[ID2]],24,FALSE)</f>
        <v>501</v>
      </c>
      <c r="D257" s="424">
        <v>45635</v>
      </c>
      <c r="E257" s="428" t="s">
        <v>1146</v>
      </c>
      <c r="F257" s="426" t="s">
        <v>1147</v>
      </c>
      <c r="G257" s="426" t="s">
        <v>1436</v>
      </c>
      <c r="H257" s="426" t="s">
        <v>1928</v>
      </c>
      <c r="I257" s="443" t="s">
        <v>1927</v>
      </c>
    </row>
    <row r="258" spans="3:9" ht="15" hidden="1" customHeight="1" x14ac:dyDescent="0.25">
      <c r="C258" s="423">
        <f>VLOOKUP(Tabla1322[[#This Row],[Código INDRA]],Tabla13[[Código Indra]:[ID2]],24,FALSE)</f>
        <v>502</v>
      </c>
      <c r="D258" s="424">
        <v>45635</v>
      </c>
      <c r="E258" s="428" t="s">
        <v>1149</v>
      </c>
      <c r="F258" s="426" t="s">
        <v>1150</v>
      </c>
      <c r="G258" s="426" t="s">
        <v>1436</v>
      </c>
      <c r="H258" s="426" t="s">
        <v>1926</v>
      </c>
      <c r="I258" s="443" t="s">
        <v>1927</v>
      </c>
    </row>
    <row r="259" spans="3:9" ht="15" hidden="1" customHeight="1" x14ac:dyDescent="0.25">
      <c r="C259" s="423">
        <f>VLOOKUP(Tabla1322[[#This Row],[Código INDRA]],Tabla13[[Código Indra]:[ID2]],24,FALSE)</f>
        <v>503</v>
      </c>
      <c r="D259" s="424">
        <v>45701</v>
      </c>
      <c r="E259" s="428" t="s">
        <v>1152</v>
      </c>
      <c r="F259" s="452" t="s">
        <v>1153</v>
      </c>
      <c r="G259" s="426" t="s">
        <v>1436</v>
      </c>
      <c r="H259" s="426" t="s">
        <v>1925</v>
      </c>
      <c r="I259" s="443" t="s">
        <v>1929</v>
      </c>
    </row>
    <row r="260" spans="3:9" ht="15" hidden="1" customHeight="1" x14ac:dyDescent="0.25">
      <c r="C260" s="423">
        <f>VLOOKUP(Tabla1322[[#This Row],[Código INDRA]],Tabla13[[Código Indra]:[ID2]],24,FALSE)</f>
        <v>503</v>
      </c>
      <c r="D260" s="424">
        <v>45635</v>
      </c>
      <c r="E260" s="428" t="s">
        <v>1152</v>
      </c>
      <c r="F260" s="426" t="s">
        <v>1153</v>
      </c>
      <c r="G260" s="426" t="s">
        <v>1436</v>
      </c>
      <c r="H260" s="426" t="s">
        <v>1930</v>
      </c>
      <c r="I260" s="443" t="s">
        <v>1929</v>
      </c>
    </row>
    <row r="261" spans="3:9" ht="15" customHeight="1" x14ac:dyDescent="0.25">
      <c r="C261" s="423">
        <f>VLOOKUP(Tabla1322[[#This Row],[Código INDRA]],Tabla13[[Código Indra]:[ID2]],24,FALSE)</f>
        <v>504</v>
      </c>
      <c r="D261" s="424">
        <v>45701</v>
      </c>
      <c r="E261" s="428" t="s">
        <v>1156</v>
      </c>
      <c r="F261" s="452" t="s">
        <v>1157</v>
      </c>
      <c r="G261" s="426" t="s">
        <v>1582</v>
      </c>
      <c r="H261" s="426" t="s">
        <v>1926</v>
      </c>
      <c r="I261" s="443"/>
    </row>
    <row r="262" spans="3:9" ht="15" hidden="1" customHeight="1" x14ac:dyDescent="0.25">
      <c r="C262" s="423">
        <f>VLOOKUP(Tabla1322[[#This Row],[Código INDRA]],Tabla13[[Código Indra]:[ID2]],24,FALSE)</f>
        <v>505</v>
      </c>
      <c r="D262" s="424">
        <v>45701</v>
      </c>
      <c r="E262" s="428" t="s">
        <v>1159</v>
      </c>
      <c r="F262" s="452" t="s">
        <v>1160</v>
      </c>
      <c r="G262" s="426" t="s">
        <v>1436</v>
      </c>
      <c r="H262" s="426" t="s">
        <v>1925</v>
      </c>
      <c r="I262" s="443" t="s">
        <v>1929</v>
      </c>
    </row>
    <row r="263" spans="3:9" ht="15" hidden="1" customHeight="1" x14ac:dyDescent="0.25">
      <c r="C263" s="423">
        <f>VLOOKUP(Tabla1322[[#This Row],[Código INDRA]],Tabla13[[Código Indra]:[ID2]],24,FALSE)</f>
        <v>505</v>
      </c>
      <c r="D263" s="424">
        <v>45635</v>
      </c>
      <c r="E263" s="428" t="s">
        <v>1159</v>
      </c>
      <c r="F263" s="426" t="s">
        <v>1160</v>
      </c>
      <c r="G263" s="426" t="s">
        <v>1436</v>
      </c>
      <c r="H263" s="426" t="s">
        <v>1930</v>
      </c>
      <c r="I263" s="443" t="s">
        <v>1929</v>
      </c>
    </row>
    <row r="264" spans="3:9" ht="15" hidden="1" customHeight="1" x14ac:dyDescent="0.25">
      <c r="C264" s="423">
        <f>VLOOKUP(Tabla1322[[#This Row],[Código INDRA]],Tabla13[[Código Indra]:[ID2]],24,FALSE)</f>
        <v>506</v>
      </c>
      <c r="D264" s="424">
        <v>45701</v>
      </c>
      <c r="E264" s="428" t="s">
        <v>1162</v>
      </c>
      <c r="F264" s="452" t="s">
        <v>1163</v>
      </c>
      <c r="G264" s="426" t="s">
        <v>1436</v>
      </c>
      <c r="H264" s="426" t="s">
        <v>1925</v>
      </c>
      <c r="I264" s="443" t="s">
        <v>1931</v>
      </c>
    </row>
    <row r="265" spans="3:9" ht="15" hidden="1" customHeight="1" x14ac:dyDescent="0.25">
      <c r="C265" s="423">
        <f>VLOOKUP(Tabla1322[[#This Row],[Código INDRA]],Tabla13[[Código Indra]:[ID2]],24,FALSE)</f>
        <v>506</v>
      </c>
      <c r="D265" s="424">
        <v>45635</v>
      </c>
      <c r="E265" s="428" t="s">
        <v>1162</v>
      </c>
      <c r="F265" s="426" t="s">
        <v>1163</v>
      </c>
      <c r="G265" s="426" t="s">
        <v>1436</v>
      </c>
      <c r="H265" s="426" t="s">
        <v>1932</v>
      </c>
      <c r="I265" s="443" t="s">
        <v>1931</v>
      </c>
    </row>
    <row r="266" spans="3:9" ht="15" hidden="1" customHeight="1" x14ac:dyDescent="0.25">
      <c r="C266" s="423">
        <f>VLOOKUP(Tabla1322[[#This Row],[Código INDRA]],Tabla13[[Código Indra]:[ID2]],24,FALSE)</f>
        <v>507</v>
      </c>
      <c r="D266" s="424">
        <v>45701</v>
      </c>
      <c r="E266" s="428" t="s">
        <v>1165</v>
      </c>
      <c r="F266" s="452" t="s">
        <v>1166</v>
      </c>
      <c r="G266" s="426" t="s">
        <v>1436</v>
      </c>
      <c r="H266" s="426" t="s">
        <v>1933</v>
      </c>
      <c r="I266" s="443" t="s">
        <v>1934</v>
      </c>
    </row>
    <row r="267" spans="3:9" ht="15" hidden="1" customHeight="1" x14ac:dyDescent="0.25">
      <c r="C267" s="423">
        <f>VLOOKUP(Tabla1322[[#This Row],[Código INDRA]],Tabla13[[Código Indra]:[ID2]],24,FALSE)</f>
        <v>507</v>
      </c>
      <c r="D267" s="424">
        <v>45635</v>
      </c>
      <c r="E267" s="428" t="s">
        <v>1165</v>
      </c>
      <c r="F267" s="426" t="s">
        <v>1166</v>
      </c>
      <c r="G267" s="426" t="s">
        <v>1436</v>
      </c>
      <c r="H267" s="426" t="s">
        <v>1935</v>
      </c>
      <c r="I267" s="443" t="s">
        <v>1934</v>
      </c>
    </row>
    <row r="268" spans="3:9" ht="15" hidden="1" customHeight="1" x14ac:dyDescent="0.25">
      <c r="C268" s="423">
        <f>VLOOKUP(Tabla1322[[#This Row],[Código INDRA]],Tabla13[[Código Indra]:[ID2]],24,FALSE)</f>
        <v>508</v>
      </c>
      <c r="D268" s="424">
        <v>45635</v>
      </c>
      <c r="E268" s="428" t="s">
        <v>1168</v>
      </c>
      <c r="F268" s="426" t="s">
        <v>1169</v>
      </c>
      <c r="G268" s="426" t="s">
        <v>1436</v>
      </c>
      <c r="H268" s="426"/>
      <c r="I268" s="443" t="s">
        <v>1936</v>
      </c>
    </row>
    <row r="269" spans="3:9" ht="15" hidden="1" customHeight="1" x14ac:dyDescent="0.25">
      <c r="C269" s="423">
        <f>VLOOKUP(Tabla1322[[#This Row],[Código INDRA]],Tabla13[[Código Indra]:[ID2]],24,FALSE)</f>
        <v>509</v>
      </c>
      <c r="D269" s="424">
        <v>45635</v>
      </c>
      <c r="E269" s="428" t="s">
        <v>1172</v>
      </c>
      <c r="F269" s="426" t="s">
        <v>1173</v>
      </c>
      <c r="G269" s="426" t="s">
        <v>1436</v>
      </c>
      <c r="H269" s="426"/>
      <c r="I269" s="443" t="s">
        <v>1936</v>
      </c>
    </row>
    <row r="270" spans="3:9" ht="15" hidden="1" customHeight="1" x14ac:dyDescent="0.25">
      <c r="C270" s="423">
        <f>VLOOKUP(Tabla1322[[#This Row],[Código INDRA]],Tabla13[[Código Indra]:[ID2]],24,FALSE)</f>
        <v>510</v>
      </c>
      <c r="D270" s="424">
        <v>45635</v>
      </c>
      <c r="E270" s="428" t="s">
        <v>1175</v>
      </c>
      <c r="F270" s="426" t="s">
        <v>1176</v>
      </c>
      <c r="G270" s="426" t="s">
        <v>1436</v>
      </c>
      <c r="H270" s="426"/>
      <c r="I270" s="443" t="s">
        <v>1936</v>
      </c>
    </row>
    <row r="271" spans="3:9" ht="15" hidden="1" customHeight="1" x14ac:dyDescent="0.25">
      <c r="C271" s="423">
        <f>VLOOKUP(Tabla1322[[#This Row],[Código INDRA]],Tabla13[[Código Indra]:[ID2]],24,FALSE)</f>
        <v>511</v>
      </c>
      <c r="D271" s="424">
        <v>45635</v>
      </c>
      <c r="E271" s="428" t="s">
        <v>1178</v>
      </c>
      <c r="F271" s="426" t="s">
        <v>1179</v>
      </c>
      <c r="G271" s="426" t="s">
        <v>1436</v>
      </c>
      <c r="H271" s="426"/>
      <c r="I271" s="443" t="s">
        <v>1936</v>
      </c>
    </row>
    <row r="272" spans="3:9" ht="15" hidden="1" customHeight="1" x14ac:dyDescent="0.25">
      <c r="C272" s="423">
        <f>VLOOKUP(Tabla1322[[#This Row],[Código INDRA]],Tabla13[[Código Indra]:[ID2]],24,FALSE)</f>
        <v>512</v>
      </c>
      <c r="D272" s="424">
        <v>45635</v>
      </c>
      <c r="E272" s="428" t="s">
        <v>1181</v>
      </c>
      <c r="F272" s="426" t="s">
        <v>1182</v>
      </c>
      <c r="G272" s="426" t="s">
        <v>1436</v>
      </c>
      <c r="H272" s="426"/>
      <c r="I272" s="443" t="s">
        <v>1937</v>
      </c>
    </row>
    <row r="273" spans="3:9" ht="15" hidden="1" customHeight="1" x14ac:dyDescent="0.25">
      <c r="C273" s="423">
        <f>VLOOKUP(Tabla1322[[#This Row],[Código INDRA]],Tabla13[[Código Indra]:[ID2]],24,FALSE)</f>
        <v>513</v>
      </c>
      <c r="D273" s="424">
        <v>45635</v>
      </c>
      <c r="E273" s="428" t="s">
        <v>1185</v>
      </c>
      <c r="F273" s="426" t="s">
        <v>1186</v>
      </c>
      <c r="G273" s="426" t="s">
        <v>1436</v>
      </c>
      <c r="H273" s="426" t="s">
        <v>1938</v>
      </c>
      <c r="I273" s="443" t="s">
        <v>1939</v>
      </c>
    </row>
    <row r="274" spans="3:9" ht="15" hidden="1" customHeight="1" x14ac:dyDescent="0.25">
      <c r="C274" s="423">
        <f>VLOOKUP(Tabla1322[[#This Row],[Código INDRA]],Tabla13[[Código Indra]:[ID2]],24,FALSE)</f>
        <v>513</v>
      </c>
      <c r="D274" s="424">
        <v>45635</v>
      </c>
      <c r="E274" s="428" t="s">
        <v>1185</v>
      </c>
      <c r="F274" s="426" t="s">
        <v>1186</v>
      </c>
      <c r="G274" s="426" t="s">
        <v>1436</v>
      </c>
      <c r="H274" s="426" t="s">
        <v>1938</v>
      </c>
      <c r="I274" s="443" t="s">
        <v>1939</v>
      </c>
    </row>
    <row r="275" spans="3:9" ht="15" hidden="1" customHeight="1" x14ac:dyDescent="0.25">
      <c r="C275" s="423">
        <f>VLOOKUP(Tabla1322[[#This Row],[Código INDRA]],Tabla13[[Código Indra]:[ID2]],24,FALSE)</f>
        <v>514</v>
      </c>
      <c r="D275" s="424">
        <v>45635</v>
      </c>
      <c r="E275" s="428" t="s">
        <v>1188</v>
      </c>
      <c r="F275" s="426" t="s">
        <v>1189</v>
      </c>
      <c r="G275" s="426" t="s">
        <v>1436</v>
      </c>
      <c r="H275" s="426"/>
      <c r="I275" s="443" t="s">
        <v>1936</v>
      </c>
    </row>
    <row r="276" spans="3:9" ht="15" hidden="1" customHeight="1" x14ac:dyDescent="0.25">
      <c r="C276" s="423">
        <f>VLOOKUP(Tabla1322[[#This Row],[Código INDRA]],Tabla13[[Código Indra]:[ID2]],24,FALSE)</f>
        <v>515</v>
      </c>
      <c r="D276" s="424">
        <v>45635</v>
      </c>
      <c r="E276" s="428" t="s">
        <v>1191</v>
      </c>
      <c r="F276" s="426" t="s">
        <v>1192</v>
      </c>
      <c r="G276" s="426" t="s">
        <v>1436</v>
      </c>
      <c r="H276" s="426"/>
      <c r="I276" s="443" t="s">
        <v>1936</v>
      </c>
    </row>
    <row r="277" spans="3:9" ht="15" hidden="1" customHeight="1" x14ac:dyDescent="0.25">
      <c r="C277" s="423">
        <f>VLOOKUP(Tabla1322[[#This Row],[Código INDRA]],Tabla13[[Código Indra]:[ID2]],24,FALSE)</f>
        <v>516</v>
      </c>
      <c r="D277" s="424">
        <v>45635</v>
      </c>
      <c r="E277" s="428" t="s">
        <v>1194</v>
      </c>
      <c r="F277" s="426" t="s">
        <v>1195</v>
      </c>
      <c r="G277" s="426" t="s">
        <v>1436</v>
      </c>
      <c r="H277" s="426"/>
      <c r="I277" s="443" t="s">
        <v>1936</v>
      </c>
    </row>
    <row r="278" spans="3:9" ht="15" hidden="1" customHeight="1" x14ac:dyDescent="0.25">
      <c r="C278" s="427">
        <f>VLOOKUP(Tabla1322[[#This Row],[Código INDRA]],Tabla13[[Código Indra]:[ID2]],24,FALSE)</f>
        <v>517</v>
      </c>
      <c r="D278" s="424">
        <v>45635</v>
      </c>
      <c r="E278" s="428" t="s">
        <v>1197</v>
      </c>
      <c r="F278" s="426" t="s">
        <v>1198</v>
      </c>
      <c r="G278" s="426" t="s">
        <v>1436</v>
      </c>
      <c r="H278" s="426"/>
      <c r="I278" s="443" t="s">
        <v>1936</v>
      </c>
    </row>
    <row r="279" spans="3:9" ht="15" hidden="1" customHeight="1" x14ac:dyDescent="0.25">
      <c r="C279" s="427">
        <f>VLOOKUP(Tabla1322[[#This Row],[Código INDRA]],Tabla13[[Código Indra]:[ID2]],24,FALSE)</f>
        <v>519</v>
      </c>
      <c r="D279" s="424">
        <v>45635</v>
      </c>
      <c r="E279" s="428" t="s">
        <v>1203</v>
      </c>
      <c r="F279" s="426" t="s">
        <v>1204</v>
      </c>
      <c r="G279" s="426" t="s">
        <v>1436</v>
      </c>
      <c r="H279" s="426" t="s">
        <v>1938</v>
      </c>
      <c r="I279" s="443" t="s">
        <v>1939</v>
      </c>
    </row>
    <row r="280" spans="3:9" ht="15" hidden="1" customHeight="1" x14ac:dyDescent="0.25">
      <c r="C280" s="427">
        <f>VLOOKUP(Tabla1322[[#This Row],[Código INDRA]],Tabla13[[Código Indra]:[ID2]],24,FALSE)</f>
        <v>519</v>
      </c>
      <c r="D280" s="424">
        <v>45635</v>
      </c>
      <c r="E280" s="428" t="s">
        <v>1203</v>
      </c>
      <c r="F280" s="426" t="s">
        <v>1940</v>
      </c>
      <c r="G280" s="426" t="s">
        <v>1436</v>
      </c>
      <c r="H280" s="426" t="s">
        <v>1938</v>
      </c>
      <c r="I280" s="443" t="s">
        <v>1939</v>
      </c>
    </row>
    <row r="281" spans="3:9" ht="15" hidden="1" customHeight="1" x14ac:dyDescent="0.25">
      <c r="C281" s="427">
        <f>VLOOKUP(Tabla1322[[#This Row],[Código INDRA]],Tabla13[[Código Indra]:[ID2]],24,FALSE)</f>
        <v>520</v>
      </c>
      <c r="D281" s="424">
        <v>45635</v>
      </c>
      <c r="E281" s="428" t="s">
        <v>1206</v>
      </c>
      <c r="F281" s="426" t="s">
        <v>1207</v>
      </c>
      <c r="G281" s="426" t="s">
        <v>1436</v>
      </c>
      <c r="H281" s="426"/>
      <c r="I281" s="443" t="s">
        <v>1936</v>
      </c>
    </row>
    <row r="282" spans="3:9" ht="15" hidden="1" customHeight="1" x14ac:dyDescent="0.25">
      <c r="C282" s="423">
        <f>VLOOKUP(Tabla1322[[#This Row],[Código INDRA]],Tabla13[[Código Indra]:[ID2]],24,FALSE)</f>
        <v>521</v>
      </c>
      <c r="D282" s="424">
        <v>45635</v>
      </c>
      <c r="E282" s="428" t="s">
        <v>1209</v>
      </c>
      <c r="F282" s="426" t="s">
        <v>1210</v>
      </c>
      <c r="G282" s="426" t="s">
        <v>1436</v>
      </c>
      <c r="H282" s="426"/>
      <c r="I282" s="443" t="s">
        <v>1936</v>
      </c>
    </row>
    <row r="283" spans="3:9" ht="15" hidden="1" customHeight="1" x14ac:dyDescent="0.25">
      <c r="C283" s="423">
        <f>VLOOKUP(Tabla1322[[#This Row],[Código INDRA]],Tabla13[[Código Indra]:[ID2]],24,FALSE)</f>
        <v>522</v>
      </c>
      <c r="D283" s="424">
        <v>45635</v>
      </c>
      <c r="E283" s="428" t="s">
        <v>1212</v>
      </c>
      <c r="F283" s="426" t="s">
        <v>1213</v>
      </c>
      <c r="G283" s="426" t="s">
        <v>1436</v>
      </c>
      <c r="H283" s="426"/>
      <c r="I283" s="443" t="s">
        <v>1936</v>
      </c>
    </row>
    <row r="284" spans="3:9" ht="15" hidden="1" customHeight="1" x14ac:dyDescent="0.25">
      <c r="C284" s="423">
        <f>VLOOKUP(Tabla1322[[#This Row],[Código INDRA]],Tabla13[[Código Indra]:[ID2]],24,FALSE)</f>
        <v>523</v>
      </c>
      <c r="D284" s="424">
        <v>45635</v>
      </c>
      <c r="E284" s="428" t="s">
        <v>1215</v>
      </c>
      <c r="F284" s="426" t="s">
        <v>1216</v>
      </c>
      <c r="G284" s="426" t="s">
        <v>1436</v>
      </c>
      <c r="H284" s="426"/>
      <c r="I284" s="443" t="s">
        <v>1936</v>
      </c>
    </row>
    <row r="285" spans="3:9" ht="15" hidden="1" customHeight="1" x14ac:dyDescent="0.25">
      <c r="C285" s="423">
        <f>VLOOKUP(Tabla1322[[#This Row],[Código INDRA]],Tabla13[[Código Indra]:[ID2]],24,FALSE)</f>
        <v>524</v>
      </c>
      <c r="D285" s="424">
        <v>45635</v>
      </c>
      <c r="E285" s="428" t="s">
        <v>1218</v>
      </c>
      <c r="F285" s="426" t="s">
        <v>1219</v>
      </c>
      <c r="G285" s="426" t="s">
        <v>1436</v>
      </c>
      <c r="H285" s="426"/>
      <c r="I285" s="443" t="s">
        <v>1939</v>
      </c>
    </row>
    <row r="286" spans="3:9" ht="15" hidden="1" customHeight="1" x14ac:dyDescent="0.25">
      <c r="C286" s="423">
        <f>VLOOKUP(Tabla1322[[#This Row],[Código INDRA]],Tabla13[[Código Indra]:[ID2]],24,FALSE)</f>
        <v>525</v>
      </c>
      <c r="D286" s="424">
        <v>45635</v>
      </c>
      <c r="E286" s="428" t="s">
        <v>1221</v>
      </c>
      <c r="F286" s="426" t="s">
        <v>1222</v>
      </c>
      <c r="G286" s="426" t="s">
        <v>1436</v>
      </c>
      <c r="H286" s="426"/>
      <c r="I286" s="443" t="s">
        <v>1936</v>
      </c>
    </row>
    <row r="287" spans="3:9" ht="15" hidden="1" customHeight="1" x14ac:dyDescent="0.25">
      <c r="C287" s="423">
        <f>VLOOKUP(Tabla1322[[#This Row],[Código INDRA]],Tabla13[[Código Indra]:[ID2]],24,FALSE)</f>
        <v>526</v>
      </c>
      <c r="D287" s="424">
        <v>45635</v>
      </c>
      <c r="E287" s="428" t="s">
        <v>1224</v>
      </c>
      <c r="F287" s="426" t="s">
        <v>1225</v>
      </c>
      <c r="G287" s="426" t="s">
        <v>1436</v>
      </c>
      <c r="H287" s="426"/>
      <c r="I287" s="443" t="s">
        <v>1936</v>
      </c>
    </row>
    <row r="288" spans="3:9" ht="15" hidden="1" customHeight="1" x14ac:dyDescent="0.25">
      <c r="C288" s="423">
        <f>VLOOKUP(Tabla1322[[#This Row],[Código INDRA]],Tabla13[[Código Indra]:[ID2]],24,FALSE)</f>
        <v>527</v>
      </c>
      <c r="D288" s="424">
        <v>45635</v>
      </c>
      <c r="E288" s="428" t="s">
        <v>1227</v>
      </c>
      <c r="F288" s="426" t="s">
        <v>1228</v>
      </c>
      <c r="G288" s="426" t="s">
        <v>1436</v>
      </c>
      <c r="H288" s="426"/>
      <c r="I288" s="443" t="s">
        <v>1936</v>
      </c>
    </row>
    <row r="289" spans="3:9" ht="15" hidden="1" customHeight="1" x14ac:dyDescent="0.25">
      <c r="C289" s="423">
        <f>VLOOKUP(Tabla1322[[#This Row],[Código INDRA]],Tabla13[[Código Indra]:[ID2]],24,FALSE)</f>
        <v>528</v>
      </c>
      <c r="D289" s="424">
        <v>45635</v>
      </c>
      <c r="E289" s="428" t="s">
        <v>1230</v>
      </c>
      <c r="F289" s="426" t="s">
        <v>1231</v>
      </c>
      <c r="G289" s="426" t="s">
        <v>1436</v>
      </c>
      <c r="H289" s="426"/>
      <c r="I289" s="443" t="s">
        <v>1936</v>
      </c>
    </row>
    <row r="290" spans="3:9" ht="15" hidden="1" customHeight="1" x14ac:dyDescent="0.25">
      <c r="C290" s="423">
        <f>VLOOKUP(Tabla1322[[#This Row],[Código INDRA]],Tabla13[[Código Indra]:[ID2]],24,FALSE)</f>
        <v>529</v>
      </c>
      <c r="D290" s="424">
        <v>45635</v>
      </c>
      <c r="E290" s="428" t="s">
        <v>1233</v>
      </c>
      <c r="F290" s="426" t="s">
        <v>1234</v>
      </c>
      <c r="G290" s="426" t="s">
        <v>1436</v>
      </c>
      <c r="H290" s="426"/>
      <c r="I290" s="443" t="s">
        <v>1936</v>
      </c>
    </row>
    <row r="291" spans="3:9" ht="15" hidden="1" customHeight="1" x14ac:dyDescent="0.25">
      <c r="C291" s="423">
        <f>VLOOKUP(Tabla1322[[#This Row],[Código INDRA]],Tabla13[[Código Indra]:[ID2]],24,FALSE)</f>
        <v>530</v>
      </c>
      <c r="D291" s="424">
        <v>45635</v>
      </c>
      <c r="E291" s="428" t="s">
        <v>1236</v>
      </c>
      <c r="F291" s="426" t="s">
        <v>1237</v>
      </c>
      <c r="G291" s="426" t="s">
        <v>1436</v>
      </c>
      <c r="H291" s="426"/>
      <c r="I291" s="443" t="s">
        <v>1936</v>
      </c>
    </row>
    <row r="292" spans="3:9" ht="15" hidden="1" customHeight="1" x14ac:dyDescent="0.25">
      <c r="C292" s="423">
        <f>VLOOKUP(Tabla1322[[#This Row],[Código INDRA]],Tabla13[[Código Indra]:[ID2]],24,FALSE)</f>
        <v>531</v>
      </c>
      <c r="D292" s="424">
        <v>45635</v>
      </c>
      <c r="E292" s="428" t="s">
        <v>1239</v>
      </c>
      <c r="F292" s="426" t="s">
        <v>1941</v>
      </c>
      <c r="G292" s="426" t="s">
        <v>1436</v>
      </c>
      <c r="H292" s="426" t="s">
        <v>1942</v>
      </c>
      <c r="I292" s="443" t="s">
        <v>1934</v>
      </c>
    </row>
    <row r="293" spans="3:9" ht="15" hidden="1" customHeight="1" x14ac:dyDescent="0.25">
      <c r="C293" s="423">
        <f>VLOOKUP(Tabla1322[[#This Row],[Código INDRA]],Tabla13[[Código Indra]:[ID2]],24,FALSE)</f>
        <v>532</v>
      </c>
      <c r="D293" s="424">
        <v>45635</v>
      </c>
      <c r="E293" s="428" t="s">
        <v>1242</v>
      </c>
      <c r="F293" s="426" t="s">
        <v>1243</v>
      </c>
      <c r="G293" s="426" t="s">
        <v>1436</v>
      </c>
      <c r="H293" s="426" t="s">
        <v>1942</v>
      </c>
      <c r="I293" s="443" t="s">
        <v>1934</v>
      </c>
    </row>
    <row r="294" spans="3:9" ht="15" hidden="1" customHeight="1" x14ac:dyDescent="0.25">
      <c r="C294" s="423">
        <f>VLOOKUP(Tabla1322[[#This Row],[Código INDRA]],Tabla13[[Código Indra]:[ID2]],24,FALSE)</f>
        <v>533</v>
      </c>
      <c r="D294" s="424">
        <v>45635</v>
      </c>
      <c r="E294" s="428" t="s">
        <v>1245</v>
      </c>
      <c r="F294" s="426" t="s">
        <v>1246</v>
      </c>
      <c r="G294" s="426" t="s">
        <v>1436</v>
      </c>
      <c r="H294" s="426" t="s">
        <v>1943</v>
      </c>
      <c r="I294" s="443" t="s">
        <v>1672</v>
      </c>
    </row>
    <row r="295" spans="3:9" ht="15" hidden="1" customHeight="1" x14ac:dyDescent="0.25">
      <c r="C295" s="423">
        <f>VLOOKUP(Tabla1322[[#This Row],[Código INDRA]],Tabla13[[Código Indra]:[ID2]],24,FALSE)</f>
        <v>534</v>
      </c>
      <c r="D295" s="424">
        <v>45635</v>
      </c>
      <c r="E295" s="428" t="s">
        <v>1249</v>
      </c>
      <c r="F295" s="426" t="s">
        <v>1250</v>
      </c>
      <c r="G295" s="426" t="s">
        <v>1436</v>
      </c>
      <c r="H295" s="426" t="s">
        <v>1944</v>
      </c>
      <c r="I295" s="443" t="s">
        <v>1945</v>
      </c>
    </row>
    <row r="296" spans="3:9" ht="15" hidden="1" customHeight="1" x14ac:dyDescent="0.25">
      <c r="C296" s="423">
        <f>VLOOKUP(Tabla1322[[#This Row],[Código INDRA]],Tabla13[[Código Indra]:[ID2]],24,FALSE)</f>
        <v>535</v>
      </c>
      <c r="D296" s="424">
        <v>45635</v>
      </c>
      <c r="E296" s="428" t="s">
        <v>1252</v>
      </c>
      <c r="F296" s="426" t="s">
        <v>1946</v>
      </c>
      <c r="G296" s="426" t="s">
        <v>1436</v>
      </c>
      <c r="H296" s="426" t="s">
        <v>1947</v>
      </c>
      <c r="I296" s="443" t="s">
        <v>1672</v>
      </c>
    </row>
    <row r="297" spans="3:9" ht="15" hidden="1" customHeight="1" x14ac:dyDescent="0.25">
      <c r="C297" s="423">
        <f>VLOOKUP(Tabla1322[[#This Row],[Código INDRA]],Tabla13[[Código Indra]:[ID2]],24,FALSE)</f>
        <v>536</v>
      </c>
      <c r="D297" s="424">
        <v>45635</v>
      </c>
      <c r="E297" s="428" t="s">
        <v>1255</v>
      </c>
      <c r="F297" s="426" t="s">
        <v>1948</v>
      </c>
      <c r="G297" s="426" t="s">
        <v>1436</v>
      </c>
      <c r="H297" s="426"/>
      <c r="I297" s="443" t="s">
        <v>1934</v>
      </c>
    </row>
    <row r="298" spans="3:9" ht="15" hidden="1" customHeight="1" x14ac:dyDescent="0.25">
      <c r="C298" s="423">
        <f>VLOOKUP(Tabla1322[[#This Row],[Código INDRA]],Tabla13[[Código Indra]:[ID2]],24,FALSE)</f>
        <v>537</v>
      </c>
      <c r="D298" s="424">
        <v>45635</v>
      </c>
      <c r="E298" s="428" t="s">
        <v>1258</v>
      </c>
      <c r="F298" s="426" t="s">
        <v>1949</v>
      </c>
      <c r="G298" s="426" t="s">
        <v>1436</v>
      </c>
      <c r="H298" s="426" t="s">
        <v>1950</v>
      </c>
      <c r="I298" s="443" t="s">
        <v>1672</v>
      </c>
    </row>
    <row r="299" spans="3:9" ht="15" hidden="1" customHeight="1" x14ac:dyDescent="0.25">
      <c r="C299" s="423">
        <f>VLOOKUP(Tabla1322[[#This Row],[Código INDRA]],Tabla13[[Código Indra]:[ID2]],24,FALSE)</f>
        <v>538</v>
      </c>
      <c r="D299" s="424">
        <v>45635</v>
      </c>
      <c r="E299" s="428" t="s">
        <v>1261</v>
      </c>
      <c r="F299" s="426" t="s">
        <v>1951</v>
      </c>
      <c r="G299" s="426" t="s">
        <v>1436</v>
      </c>
      <c r="H299" s="426" t="s">
        <v>1952</v>
      </c>
      <c r="I299" s="443" t="s">
        <v>1672</v>
      </c>
    </row>
    <row r="300" spans="3:9" ht="15" hidden="1" customHeight="1" x14ac:dyDescent="0.25">
      <c r="C300" s="423">
        <f>VLOOKUP(Tabla1322[[#This Row],[Código INDRA]],Tabla13[[Código Indra]:[ID2]],24,FALSE)</f>
        <v>539</v>
      </c>
      <c r="D300" s="424">
        <v>45636</v>
      </c>
      <c r="E300" s="428" t="s">
        <v>1264</v>
      </c>
      <c r="F300" s="426" t="s">
        <v>1953</v>
      </c>
      <c r="G300" s="426" t="s">
        <v>1436</v>
      </c>
      <c r="H300" s="426" t="s">
        <v>1954</v>
      </c>
      <c r="I300" s="443" t="s">
        <v>1715</v>
      </c>
    </row>
    <row r="301" spans="3:9" ht="15" hidden="1" customHeight="1" x14ac:dyDescent="0.25">
      <c r="C301" s="423">
        <f>VLOOKUP(Tabla1322[[#This Row],[Código INDRA]],Tabla13[[Código Indra]:[ID2]],24,FALSE)</f>
        <v>540</v>
      </c>
      <c r="D301" s="424">
        <v>45659</v>
      </c>
      <c r="E301" s="428" t="s">
        <v>108</v>
      </c>
      <c r="F301" s="452" t="s">
        <v>109</v>
      </c>
      <c r="G301" s="424"/>
      <c r="H301" s="426" t="s">
        <v>1727</v>
      </c>
      <c r="I301" s="443"/>
    </row>
    <row r="302" spans="3:9" ht="15" customHeight="1" x14ac:dyDescent="0.25">
      <c r="C302" s="423">
        <f>VLOOKUP(Tabla1322[[#This Row],[Código INDRA]],Tabla13[[Código Indra]:[ID2]],24,FALSE)</f>
        <v>620</v>
      </c>
      <c r="D302" s="424">
        <v>45659</v>
      </c>
      <c r="E302" s="428" t="s">
        <v>189</v>
      </c>
      <c r="F302" s="452" t="s">
        <v>190</v>
      </c>
      <c r="G302" s="424" t="s">
        <v>1582</v>
      </c>
      <c r="H302" s="426" t="s">
        <v>1955</v>
      </c>
      <c r="I302" s="443" t="s">
        <v>1789</v>
      </c>
    </row>
    <row r="303" spans="3:9" ht="15" hidden="1" customHeight="1" x14ac:dyDescent="0.25">
      <c r="C303" s="423">
        <f>VLOOKUP(Tabla1322[[#This Row],[Código INDRA]],Tabla13[[Código Indra]:[ID2]],24,FALSE)</f>
        <v>620</v>
      </c>
      <c r="D303" s="424">
        <v>45672</v>
      </c>
      <c r="E303" s="428" t="s">
        <v>189</v>
      </c>
      <c r="F303" s="426" t="s">
        <v>190</v>
      </c>
      <c r="G303" s="426" t="s">
        <v>1436</v>
      </c>
      <c r="H303" s="426" t="s">
        <v>1956</v>
      </c>
      <c r="I303" s="443" t="s">
        <v>1789</v>
      </c>
    </row>
    <row r="304" spans="3:9" ht="15" hidden="1" customHeight="1" x14ac:dyDescent="0.25">
      <c r="C304" s="423">
        <f>VLOOKUP(Tabla1322[[#This Row],[Código INDRA]],Tabla13[[Código Indra]:[ID2]],24,FALSE)</f>
        <v>620</v>
      </c>
      <c r="D304" s="424">
        <v>45672</v>
      </c>
      <c r="E304" s="428" t="s">
        <v>189</v>
      </c>
      <c r="F304" s="426" t="s">
        <v>190</v>
      </c>
      <c r="G304" s="426" t="s">
        <v>1436</v>
      </c>
      <c r="H304" s="426" t="s">
        <v>1957</v>
      </c>
      <c r="I304" s="443" t="s">
        <v>1789</v>
      </c>
    </row>
    <row r="305" spans="3:9" ht="15" hidden="1" customHeight="1" x14ac:dyDescent="0.25">
      <c r="C305" s="423">
        <f>VLOOKUP(Tabla1322[[#This Row],[Código INDRA]],Tabla13[[Código Indra]:[ID2]],24,FALSE)</f>
        <v>620</v>
      </c>
      <c r="D305" s="424">
        <v>45672</v>
      </c>
      <c r="E305" s="428" t="s">
        <v>189</v>
      </c>
      <c r="F305" s="426" t="s">
        <v>190</v>
      </c>
      <c r="G305" s="426" t="s">
        <v>1436</v>
      </c>
      <c r="H305" s="426" t="s">
        <v>1958</v>
      </c>
      <c r="I305" s="443" t="s">
        <v>1789</v>
      </c>
    </row>
    <row r="306" spans="3:9" ht="15" hidden="1" customHeight="1" x14ac:dyDescent="0.25">
      <c r="C306" s="423">
        <f>VLOOKUP(Tabla1322[[#This Row],[Código INDRA]],Tabla13[[Código Indra]:[ID2]],24,FALSE)</f>
        <v>620</v>
      </c>
      <c r="D306" s="424">
        <v>45672</v>
      </c>
      <c r="E306" s="428" t="s">
        <v>189</v>
      </c>
      <c r="F306" s="426" t="s">
        <v>190</v>
      </c>
      <c r="G306" s="426" t="s">
        <v>1436</v>
      </c>
      <c r="H306" s="426" t="s">
        <v>1959</v>
      </c>
      <c r="I306" s="443" t="s">
        <v>1789</v>
      </c>
    </row>
    <row r="307" spans="3:9" ht="15" hidden="1" customHeight="1" x14ac:dyDescent="0.25">
      <c r="C307" s="423">
        <f>VLOOKUP(Tabla1322[[#This Row],[Código INDRA]],Tabla13[[Código Indra]:[ID2]],24,FALSE)</f>
        <v>620</v>
      </c>
      <c r="D307" s="424">
        <v>45672</v>
      </c>
      <c r="E307" s="428" t="s">
        <v>189</v>
      </c>
      <c r="F307" s="426" t="s">
        <v>190</v>
      </c>
      <c r="G307" s="426" t="s">
        <v>1436</v>
      </c>
      <c r="H307" s="426" t="s">
        <v>1960</v>
      </c>
      <c r="I307" s="443" t="s">
        <v>1789</v>
      </c>
    </row>
    <row r="308" spans="3:9" ht="15" hidden="1" customHeight="1" x14ac:dyDescent="0.25">
      <c r="C308" s="423">
        <f>VLOOKUP(Tabla1322[[#This Row],[Código INDRA]],Tabla13[[Código Indra]:[ID2]],24,FALSE)</f>
        <v>620</v>
      </c>
      <c r="D308" s="424">
        <v>45672</v>
      </c>
      <c r="E308" s="428" t="s">
        <v>189</v>
      </c>
      <c r="F308" s="426" t="s">
        <v>190</v>
      </c>
      <c r="G308" s="426" t="s">
        <v>1436</v>
      </c>
      <c r="H308" s="426" t="s">
        <v>1961</v>
      </c>
      <c r="I308" s="443" t="s">
        <v>1782</v>
      </c>
    </row>
    <row r="309" spans="3:9" ht="15" customHeight="1" x14ac:dyDescent="0.25">
      <c r="C309" s="423">
        <f>VLOOKUP(Tabla1322[[#This Row],[Código INDRA]],Tabla13[[Código Indra]:[ID2]],24,FALSE)</f>
        <v>621</v>
      </c>
      <c r="D309" s="424">
        <v>45993</v>
      </c>
      <c r="E309" s="428" t="s">
        <v>184</v>
      </c>
      <c r="F309" s="452" t="s">
        <v>185</v>
      </c>
      <c r="G309" s="424" t="s">
        <v>1582</v>
      </c>
      <c r="H309" s="426" t="s">
        <v>1962</v>
      </c>
      <c r="I309" s="443" t="s">
        <v>1963</v>
      </c>
    </row>
    <row r="310" spans="3:9" ht="15" hidden="1" customHeight="1" x14ac:dyDescent="0.25">
      <c r="C310" s="423" t="e">
        <f>VLOOKUP(Tabla1322[[#This Row],[Código INDRA]],Tabla13[[Código Indra]:[ID2]],24,FALSE)</f>
        <v>#N/A</v>
      </c>
      <c r="D310" s="424">
        <v>45659</v>
      </c>
      <c r="E310" s="428" t="s">
        <v>166</v>
      </c>
      <c r="F310" s="452" t="s">
        <v>167</v>
      </c>
      <c r="G310" s="424"/>
      <c r="H310" s="426" t="s">
        <v>1727</v>
      </c>
      <c r="I310" s="443" t="s">
        <v>1873</v>
      </c>
    </row>
    <row r="311" spans="3:9" ht="15" hidden="1" customHeight="1" x14ac:dyDescent="0.25">
      <c r="C311" s="423" t="e">
        <f>VLOOKUP(Tabla1322[[#This Row],[Código INDRA]],Tabla13[[Código Indra]:[ID2]],24,FALSE)</f>
        <v>#N/A</v>
      </c>
      <c r="D311" s="424">
        <v>45659</v>
      </c>
      <c r="E311" s="428" t="s">
        <v>194</v>
      </c>
      <c r="F311" s="452" t="s">
        <v>195</v>
      </c>
      <c r="G311" s="424"/>
      <c r="H311" s="426" t="s">
        <v>1727</v>
      </c>
      <c r="I311" s="443" t="s">
        <v>1873</v>
      </c>
    </row>
    <row r="312" spans="3:9" ht="15" hidden="1" customHeight="1" x14ac:dyDescent="0.25">
      <c r="C312" s="423" t="e">
        <f>VLOOKUP(Tabla1322[[#This Row],[Código INDRA]],Tabla13[[Código Indra]:[ID2]],24,FALSE)</f>
        <v>#N/A</v>
      </c>
      <c r="D312" s="424">
        <v>45659</v>
      </c>
      <c r="E312" s="428" t="s">
        <v>149</v>
      </c>
      <c r="F312" s="452" t="s">
        <v>150</v>
      </c>
      <c r="G312" s="424"/>
      <c r="H312" s="426" t="s">
        <v>1727</v>
      </c>
      <c r="I312" s="443" t="s">
        <v>1964</v>
      </c>
    </row>
    <row r="313" spans="3:9" ht="15" hidden="1" customHeight="1" x14ac:dyDescent="0.25">
      <c r="C313" s="423" t="e">
        <f>VLOOKUP(Tabla1322[[#This Row],[Código INDRA]],Tabla13[[Código Indra]:[ID2]],24,FALSE)</f>
        <v>#N/A</v>
      </c>
      <c r="D313" s="424">
        <v>45659</v>
      </c>
      <c r="E313" s="428" t="s">
        <v>194</v>
      </c>
      <c r="F313" s="452" t="s">
        <v>195</v>
      </c>
      <c r="G313" s="424"/>
      <c r="H313" s="426" t="s">
        <v>1727</v>
      </c>
      <c r="I313" s="443" t="s">
        <v>1873</v>
      </c>
    </row>
    <row r="314" spans="3:9" ht="15" customHeight="1" x14ac:dyDescent="0.25">
      <c r="C314" s="427" t="e">
        <f>VLOOKUP(Tabla1322[[#This Row],[Código INDRA]],Tabla13[[Código Indra]:[ID2]],24,FALSE)</f>
        <v>#N/A</v>
      </c>
      <c r="D314" s="424">
        <v>45659</v>
      </c>
      <c r="E314" s="428" t="s">
        <v>1475</v>
      </c>
      <c r="F314" s="452" t="s">
        <v>101</v>
      </c>
      <c r="G314" s="426" t="s">
        <v>1582</v>
      </c>
      <c r="H314" s="426" t="s">
        <v>1965</v>
      </c>
      <c r="I314" s="443"/>
    </row>
    <row r="315" spans="3:9" ht="15" hidden="1" customHeight="1" x14ac:dyDescent="0.25">
      <c r="C315" s="423" t="e">
        <f>VLOOKUP(Tabla1322[[#This Row],[Código INDRA]],Tabla13[[Código Indra]:[ID2]],24,FALSE)</f>
        <v>#N/A</v>
      </c>
      <c r="D315" s="424">
        <v>45583</v>
      </c>
      <c r="E315" s="428" t="s">
        <v>1966</v>
      </c>
      <c r="F315" s="452" t="s">
        <v>1269</v>
      </c>
      <c r="G315" s="426"/>
      <c r="H315" s="426" t="s">
        <v>1967</v>
      </c>
      <c r="I315" s="443" t="s">
        <v>1968</v>
      </c>
    </row>
    <row r="316" spans="3:9" ht="15" customHeight="1" x14ac:dyDescent="0.25">
      <c r="C316" s="423" t="e">
        <f>VLOOKUP(Tabla1322[[#This Row],[Código INDRA]],Tabla13[[Código Indra]:[ID2]],24,FALSE)</f>
        <v>#N/A</v>
      </c>
      <c r="D316" s="424">
        <v>45726</v>
      </c>
      <c r="E316" s="428" t="s">
        <v>1969</v>
      </c>
      <c r="F316" s="452" t="s">
        <v>1970</v>
      </c>
      <c r="G316" s="426" t="s">
        <v>1582</v>
      </c>
      <c r="H316" s="426" t="s">
        <v>1971</v>
      </c>
      <c r="I316" s="443" t="s">
        <v>1808</v>
      </c>
    </row>
    <row r="317" spans="3:9" ht="15" customHeight="1" x14ac:dyDescent="0.25">
      <c r="C317" s="423" t="e">
        <f>VLOOKUP(Tabla1322[[#This Row],[Código INDRA]],Tabla13[[Código Indra]:[ID2]],24,FALSE)</f>
        <v>#N/A</v>
      </c>
      <c r="D317" s="424">
        <v>45701</v>
      </c>
      <c r="E317" s="428" t="s">
        <v>1972</v>
      </c>
      <c r="F317" s="452" t="s">
        <v>441</v>
      </c>
      <c r="G317" s="426" t="s">
        <v>1582</v>
      </c>
      <c r="H317" s="426" t="s">
        <v>1973</v>
      </c>
      <c r="I317" s="443" t="s">
        <v>1974</v>
      </c>
    </row>
    <row r="318" spans="3:9" ht="15" hidden="1" customHeight="1" x14ac:dyDescent="0.25">
      <c r="C318" s="423" t="e">
        <f>VLOOKUP(Tabla1322[[#This Row],[Código INDRA]],Tabla13[[Código Indra]:[ID2]],24,FALSE)</f>
        <v>#N/A</v>
      </c>
      <c r="D318" s="424">
        <v>45701</v>
      </c>
      <c r="E318" s="428" t="s">
        <v>209</v>
      </c>
      <c r="F318" s="452" t="s">
        <v>210</v>
      </c>
      <c r="G318" s="426"/>
      <c r="H318" s="426" t="s">
        <v>1874</v>
      </c>
      <c r="I318" s="443"/>
    </row>
    <row r="319" spans="3:9" ht="15" hidden="1" customHeight="1" x14ac:dyDescent="0.25">
      <c r="C319" s="427" t="e">
        <f>VLOOKUP(Tabla1322[[#This Row],[Código INDRA]],Tabla13[[Código Indra]:[ID2]],24,FALSE)</f>
        <v>#N/A</v>
      </c>
      <c r="D319" s="424">
        <v>45610</v>
      </c>
      <c r="E319" s="428" t="s">
        <v>973</v>
      </c>
      <c r="F319" s="426" t="s">
        <v>974</v>
      </c>
      <c r="G319" s="426" t="s">
        <v>1436</v>
      </c>
      <c r="H319" s="426" t="s">
        <v>1720</v>
      </c>
      <c r="I319" s="443" t="s">
        <v>1721</v>
      </c>
    </row>
    <row r="320" spans="3:9" ht="15" hidden="1" customHeight="1" x14ac:dyDescent="0.25">
      <c r="C320" s="423" t="e">
        <f>VLOOKUP(Tabla1322[[#This Row],[Código INDRA]],Tabla13[[Código Indra]:[ID2]],24,FALSE)</f>
        <v>#N/A</v>
      </c>
      <c r="D320" s="424">
        <v>45698</v>
      </c>
      <c r="E320" s="428" t="s">
        <v>149</v>
      </c>
      <c r="F320" s="426" t="s">
        <v>150</v>
      </c>
      <c r="G320" s="426" t="s">
        <v>1436</v>
      </c>
      <c r="H320" s="426" t="s">
        <v>1975</v>
      </c>
      <c r="I320" s="443" t="s">
        <v>1964</v>
      </c>
    </row>
    <row r="321" spans="3:9" ht="15" hidden="1" customHeight="1" x14ac:dyDescent="0.25">
      <c r="C321" s="423" t="e">
        <f>VLOOKUP(Tabla1322[[#This Row],[Código INDRA]],Tabla13[[Código Indra]:[ID2]],24,FALSE)</f>
        <v>#N/A</v>
      </c>
      <c r="D321" s="424">
        <v>45643</v>
      </c>
      <c r="E321" s="428" t="s">
        <v>45</v>
      </c>
      <c r="F321" s="426" t="s">
        <v>46</v>
      </c>
      <c r="G321" s="426" t="s">
        <v>1436</v>
      </c>
      <c r="H321" s="426" t="s">
        <v>1976</v>
      </c>
      <c r="I321" s="443" t="s">
        <v>1977</v>
      </c>
    </row>
    <row r="322" spans="3:9" ht="15" hidden="1" customHeight="1" x14ac:dyDescent="0.25">
      <c r="C322" s="423" t="e">
        <f>VLOOKUP(Tabla1322[[#This Row],[Código INDRA]],Tabla13[[Código Indra]:[ID2]],24,FALSE)</f>
        <v>#N/A</v>
      </c>
      <c r="D322" s="424"/>
      <c r="E322" s="428">
        <v>973545003800</v>
      </c>
      <c r="F322" s="426" t="s">
        <v>542</v>
      </c>
      <c r="G322" s="426" t="s">
        <v>1436</v>
      </c>
      <c r="H322" s="426" t="s">
        <v>1978</v>
      </c>
      <c r="I322" s="443" t="s">
        <v>1847</v>
      </c>
    </row>
    <row r="323" spans="3:9" ht="15" hidden="1" customHeight="1" x14ac:dyDescent="0.25">
      <c r="C323" s="423" t="e">
        <f>VLOOKUP(Tabla1322[[#This Row],[Código INDRA]],Tabla13[[Código Indra]:[ID2]],24,FALSE)</f>
        <v>#N/A</v>
      </c>
      <c r="D323" s="424">
        <v>45698</v>
      </c>
      <c r="E323" s="428" t="s">
        <v>166</v>
      </c>
      <c r="F323" s="426" t="s">
        <v>167</v>
      </c>
      <c r="G323" s="426" t="s">
        <v>1436</v>
      </c>
      <c r="H323" s="426" t="s">
        <v>1874</v>
      </c>
      <c r="I323" s="443" t="s">
        <v>1873</v>
      </c>
    </row>
    <row r="324" spans="3:9" ht="15" hidden="1" customHeight="1" x14ac:dyDescent="0.25">
      <c r="C324" s="423" t="e">
        <f>VLOOKUP(Tabla1322[[#This Row],[Código INDRA]],Tabla13[[Código Indra]:[ID2]],24,FALSE)</f>
        <v>#N/A</v>
      </c>
      <c r="D324" s="424">
        <v>45698</v>
      </c>
      <c r="E324" s="428" t="s">
        <v>194</v>
      </c>
      <c r="F324" s="426" t="s">
        <v>195</v>
      </c>
      <c r="G324" s="426" t="s">
        <v>1436</v>
      </c>
      <c r="H324" s="426" t="s">
        <v>1874</v>
      </c>
      <c r="I324" s="443" t="s">
        <v>1873</v>
      </c>
    </row>
    <row r="325" spans="3:9" ht="15" hidden="1" customHeight="1" x14ac:dyDescent="0.25">
      <c r="C325" s="427" t="e">
        <f>VLOOKUP(Tabla1322[[#This Row],[Código INDRA]],Tabla13[[Código Indra]:[ID2]],24,FALSE)</f>
        <v>#N/A</v>
      </c>
      <c r="D325" s="424">
        <v>45596</v>
      </c>
      <c r="E325" s="428" t="s">
        <v>1979</v>
      </c>
      <c r="F325" s="426" t="s">
        <v>1980</v>
      </c>
      <c r="G325" s="426" t="s">
        <v>1436</v>
      </c>
      <c r="H325" s="426" t="s">
        <v>1981</v>
      </c>
      <c r="I325" s="443" t="s">
        <v>1982</v>
      </c>
    </row>
    <row r="326" spans="3:9" ht="15" hidden="1" customHeight="1" x14ac:dyDescent="0.25">
      <c r="C326" s="427" t="e">
        <f>VLOOKUP(Tabla1322[[#This Row],[Código INDRA]],Tabla13[[Código Indra]:[ID2]],24,FALSE)</f>
        <v>#N/A</v>
      </c>
      <c r="D326" s="424"/>
      <c r="E326" s="425" t="s">
        <v>1983</v>
      </c>
      <c r="F326" s="426" t="s">
        <v>906</v>
      </c>
      <c r="G326" s="426" t="s">
        <v>1436</v>
      </c>
      <c r="H326" s="426" t="s">
        <v>1984</v>
      </c>
      <c r="I326" s="443" t="s">
        <v>1985</v>
      </c>
    </row>
    <row r="327" spans="3:9" ht="15" hidden="1" customHeight="1" x14ac:dyDescent="0.25">
      <c r="C327" s="427"/>
      <c r="D327" s="424">
        <v>45989</v>
      </c>
      <c r="E327" s="428" t="s">
        <v>532</v>
      </c>
      <c r="F327" s="452" t="s">
        <v>77</v>
      </c>
      <c r="G327" s="426"/>
      <c r="H327" s="426" t="s">
        <v>1727</v>
      </c>
      <c r="I327" s="443" t="s">
        <v>1843</v>
      </c>
    </row>
    <row r="328" spans="3:9" ht="15" hidden="1" customHeight="1" x14ac:dyDescent="0.25">
      <c r="C328" s="423"/>
      <c r="D328" s="424">
        <v>45659</v>
      </c>
      <c r="E328" s="428" t="s">
        <v>557</v>
      </c>
      <c r="F328" s="452" t="s">
        <v>86</v>
      </c>
      <c r="G328" s="426"/>
      <c r="H328" s="426" t="s">
        <v>1727</v>
      </c>
      <c r="I328" s="443" t="s">
        <v>1791</v>
      </c>
    </row>
    <row r="329" spans="3:9" ht="15" hidden="1" customHeight="1" x14ac:dyDescent="0.25">
      <c r="C329" s="427"/>
      <c r="D329" s="424">
        <v>45659</v>
      </c>
      <c r="E329" s="428" t="s">
        <v>88</v>
      </c>
      <c r="F329" s="452" t="s">
        <v>89</v>
      </c>
      <c r="G329" s="426"/>
      <c r="H329" s="426" t="s">
        <v>1727</v>
      </c>
      <c r="I329" s="443" t="s">
        <v>1796</v>
      </c>
    </row>
    <row r="330" spans="3:9" ht="314.25" customHeight="1" x14ac:dyDescent="0.25">
      <c r="C330" s="423" t="e">
        <f>VLOOKUP(Tabla1322[[#This Row],[Código INDRA]],Tabla13[[Código Indra]:[ID2]],24,FALSE)</f>
        <v>#N/A</v>
      </c>
      <c r="D330" s="424">
        <v>46120</v>
      </c>
      <c r="E330" s="619" t="s">
        <v>1986</v>
      </c>
      <c r="F330" s="426" t="s">
        <v>1987</v>
      </c>
      <c r="G330" s="617" t="s">
        <v>1582</v>
      </c>
      <c r="H330" s="426" t="s">
        <v>1988</v>
      </c>
      <c r="I330" s="443"/>
    </row>
    <row r="331" spans="3:9" ht="15" hidden="1" customHeight="1" x14ac:dyDescent="0.25">
      <c r="C331" s="427" t="e">
        <f>VLOOKUP(Tabla1322[[#This Row],[Código INDRA]],Tabla13[[Código Indra]:[ID2]],24,FALSE)</f>
        <v>#N/A</v>
      </c>
      <c r="D331" s="424"/>
      <c r="E331" s="428"/>
      <c r="F331" s="426"/>
      <c r="G331" s="618"/>
      <c r="H331" s="426"/>
      <c r="I331" s="443"/>
    </row>
  </sheetData>
  <sheetProtection formatCells="0" formatColumns="0" formatRows="0" insertHyperlinks="0" sort="0" autoFilter="0" pivotTables="0"/>
  <mergeCells count="1">
    <mergeCell ref="F4:G4"/>
  </mergeCells>
  <phoneticPr fontId="21" type="noConversion"/>
  <conditionalFormatting sqref="J96:J1048576">
    <cfRule type="beginsWith" dxfId="336" priority="94" operator="beginsWith" text="Parada:">
      <formula>LEFT(J96,LEN("Parada:"))="Parada:"</formula>
    </cfRule>
    <cfRule type="beginsWith" dxfId="335" priority="95" operator="beginsWith" text="Calidad">
      <formula>LEFT(J96,LEN("Calidad"))="Calidad"</formula>
    </cfRule>
    <cfRule type="beginsWith" dxfId="334" priority="96" operator="beginsWith" text="Control Producción">
      <formula>LEFT(J96,LEN("Control Producción"))="Control Producción"</formula>
    </cfRule>
    <cfRule type="beginsWith" dxfId="333" priority="97" operator="beginsWith" text="Montaje">
      <formula>LEFT(J96,LEN("Montaje"))="Montaje"</formula>
    </cfRule>
    <cfRule type="beginsWith" dxfId="332" priority="98" operator="beginsWith" text="Finalizada">
      <formula>LEFT(J96,LEN("Finalizada"))="Finalizada"</formula>
    </cfRule>
    <cfRule type="beginsWith" dxfId="331" priority="99" operator="beginsWith" text="Calidad NO OK">
      <formula>LEFT(J96,LEN("Calidad NO OK"))="Calidad NO OK"</formula>
    </cfRule>
    <cfRule type="beginsWith" dxfId="330" priority="100" operator="beginsWith" text="Sin Stock">
      <formula>LEFT(J96,LEN("Sin Stock"))="Sin Stock"</formula>
    </cfRule>
    <cfRule type="beginsWith" dxfId="329" priority="101" operator="beginsWith" text="Ingenieria">
      <formula>LEFT(J96,LEN("Ingenieria"))="Ingenieria"</formula>
    </cfRule>
  </conditionalFormatting>
  <conditionalFormatting sqref="N16:N1048576">
    <cfRule type="beginsWith" dxfId="328" priority="92" operator="beginsWith" text="Disponible">
      <formula>LEFT(N16,LEN("Disponible"))="Disponible"</formula>
    </cfRule>
    <cfRule type="beginsWith" dxfId="327" priority="93" operator="beginsWith" text="No Disponible">
      <formula>LEFT(N16,LEN("No Disponible"))="No Disponible"</formula>
    </cfRule>
  </conditionalFormatting>
  <pageMargins left="0.25" right="0.25" top="0.75" bottom="0.75" header="0.3" footer="0.3"/>
  <pageSetup paperSize="9" scale="18" fitToHeight="0" orientation="portrait"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9210A-2A9D-46F8-9409-976950B63A0C}">
  <sheetPr codeName="Hoja1">
    <tabColor rgb="FFFFC000"/>
    <pageSetUpPr fitToPage="1"/>
  </sheetPr>
  <dimension ref="A1:Y1972"/>
  <sheetViews>
    <sheetView tabSelected="1" topLeftCell="E7" zoomScale="90" zoomScaleNormal="90" zoomScaleSheetLayoutView="70" workbookViewId="0">
      <selection activeCell="O16" sqref="O16"/>
    </sheetView>
  </sheetViews>
  <sheetFormatPr baseColWidth="10" defaultColWidth="11.42578125" defaultRowHeight="15" customHeight="1" outlineLevelRow="1" x14ac:dyDescent="0.25"/>
  <cols>
    <col min="1" max="1" width="6.42578125" customWidth="1"/>
    <col min="2" max="2" width="20.5703125" customWidth="1"/>
    <col min="3" max="3" width="24.42578125" customWidth="1"/>
    <col min="4" max="4" width="39.5703125" customWidth="1"/>
    <col min="5" max="5" width="26.5703125" customWidth="1"/>
    <col min="6" max="6" width="18.42578125" customWidth="1"/>
    <col min="7" max="8" width="22.5703125" customWidth="1"/>
    <col min="9" max="9" width="15.42578125" customWidth="1"/>
    <col min="10" max="10" width="14" customWidth="1"/>
    <col min="11" max="11" width="16.42578125" style="184" customWidth="1"/>
    <col min="12" max="12" width="13.42578125" customWidth="1"/>
    <col min="13" max="13" width="17.42578125" customWidth="1"/>
    <col min="14" max="14" width="17.5703125" customWidth="1"/>
    <col min="15" max="15" width="56.42578125" style="451" customWidth="1"/>
    <col min="16" max="16" width="16.5703125" style="50" bestFit="1" customWidth="1"/>
    <col min="17" max="17" width="16" customWidth="1"/>
    <col min="18" max="18" width="22.5703125" bestFit="1" customWidth="1"/>
    <col min="19" max="19" width="18.42578125" bestFit="1" customWidth="1"/>
    <col min="20" max="20" width="20.42578125" bestFit="1" customWidth="1"/>
    <col min="21" max="21" width="12.5703125" bestFit="1" customWidth="1"/>
    <col min="22" max="23" width="18.5703125" bestFit="1" customWidth="1"/>
    <col min="24" max="24" width="28.5703125" style="116" bestFit="1" customWidth="1"/>
    <col min="25" max="25" width="12" customWidth="1"/>
  </cols>
  <sheetData>
    <row r="1" spans="1:25" ht="15.75" thickBot="1" x14ac:dyDescent="0.3">
      <c r="A1" s="365"/>
      <c r="B1" s="365"/>
      <c r="C1" s="365"/>
      <c r="D1" s="365"/>
      <c r="E1" s="365"/>
      <c r="F1" s="365"/>
      <c r="G1" s="365"/>
      <c r="H1" s="365"/>
      <c r="I1" s="365"/>
      <c r="J1" s="365"/>
      <c r="K1" s="365"/>
      <c r="L1" s="365"/>
      <c r="M1" s="365"/>
      <c r="N1" s="365"/>
      <c r="O1" s="445"/>
      <c r="P1" s="365"/>
      <c r="Q1" s="365"/>
      <c r="R1" s="365"/>
      <c r="S1" s="365"/>
      <c r="T1" s="365"/>
      <c r="U1" s="365"/>
      <c r="V1" s="365"/>
      <c r="W1" s="365"/>
      <c r="X1" s="365"/>
      <c r="Y1" s="365"/>
    </row>
    <row r="2" spans="1:25" ht="42" x14ac:dyDescent="0.25">
      <c r="A2" s="365"/>
      <c r="B2" s="365"/>
      <c r="C2" s="365"/>
      <c r="D2" s="366" t="s">
        <v>1563</v>
      </c>
      <c r="E2" s="367" t="s">
        <v>9</v>
      </c>
      <c r="F2" s="367" t="s">
        <v>236</v>
      </c>
      <c r="G2" s="367" t="s">
        <v>1564</v>
      </c>
      <c r="H2" s="411" t="s">
        <v>1565</v>
      </c>
      <c r="I2" s="365"/>
      <c r="J2" s="365"/>
      <c r="K2" s="365"/>
      <c r="L2" s="365"/>
      <c r="M2" s="365"/>
      <c r="N2" s="365"/>
      <c r="O2" s="446" t="s">
        <v>228</v>
      </c>
      <c r="P2" s="365"/>
      <c r="Q2" s="365"/>
      <c r="R2" s="365"/>
      <c r="S2" s="365"/>
      <c r="T2" s="365"/>
      <c r="U2" s="365"/>
      <c r="V2" s="365"/>
      <c r="W2" s="365"/>
      <c r="X2" s="365"/>
      <c r="Y2" s="365"/>
    </row>
    <row r="3" spans="1:25" ht="21" x14ac:dyDescent="0.25">
      <c r="A3" s="365"/>
      <c r="B3" s="365"/>
      <c r="C3" s="365"/>
      <c r="D3" s="369" t="s">
        <v>1566</v>
      </c>
      <c r="E3" s="370" t="s">
        <v>1574</v>
      </c>
      <c r="F3" s="370">
        <v>1</v>
      </c>
      <c r="G3" s="383">
        <v>45536</v>
      </c>
      <c r="H3" s="371" t="s">
        <v>622</v>
      </c>
      <c r="I3" s="365"/>
      <c r="J3" s="365"/>
      <c r="K3" s="365"/>
      <c r="L3" s="365"/>
      <c r="M3" s="365"/>
      <c r="N3" s="365"/>
      <c r="O3" s="447" t="s">
        <v>1989</v>
      </c>
      <c r="P3" s="365"/>
      <c r="Q3" s="365"/>
      <c r="R3" s="365"/>
      <c r="S3" s="365"/>
      <c r="T3" s="365"/>
      <c r="U3" s="365"/>
      <c r="V3" s="365"/>
      <c r="W3" s="365"/>
      <c r="X3" s="365"/>
      <c r="Y3" s="365"/>
    </row>
    <row r="4" spans="1:25" x14ac:dyDescent="0.25">
      <c r="A4" s="365"/>
      <c r="B4" s="365"/>
      <c r="C4" s="365"/>
      <c r="D4" s="365"/>
      <c r="E4" s="365"/>
      <c r="F4" s="365"/>
      <c r="G4" s="365"/>
      <c r="H4" s="365"/>
      <c r="I4" s="365"/>
      <c r="J4" s="365"/>
      <c r="K4" s="365"/>
      <c r="L4" s="365"/>
      <c r="M4" s="365"/>
      <c r="N4" s="365"/>
      <c r="O4" s="445"/>
      <c r="P4" s="365"/>
      <c r="Q4" s="365"/>
      <c r="R4" s="365"/>
      <c r="S4" s="365"/>
      <c r="T4" s="365"/>
      <c r="U4" s="365"/>
      <c r="V4" s="365"/>
      <c r="W4" s="365"/>
      <c r="X4" s="365"/>
      <c r="Y4" s="365"/>
    </row>
    <row r="5" spans="1:25" ht="21" outlineLevel="1" x14ac:dyDescent="0.25">
      <c r="A5" s="365"/>
      <c r="B5" s="658" t="s">
        <v>213</v>
      </c>
      <c r="C5" s="671" t="s">
        <v>212</v>
      </c>
      <c r="D5" s="672"/>
      <c r="E5" s="673"/>
      <c r="F5" s="656" t="s">
        <v>215</v>
      </c>
      <c r="G5" s="660" t="s">
        <v>216</v>
      </c>
      <c r="H5" s="656" t="s">
        <v>217</v>
      </c>
      <c r="I5" s="676" t="s">
        <v>218</v>
      </c>
      <c r="J5" s="677"/>
      <c r="K5" s="678"/>
      <c r="L5" s="660" t="s">
        <v>219</v>
      </c>
      <c r="M5" s="656" t="s">
        <v>220</v>
      </c>
      <c r="N5" s="660" t="s">
        <v>221</v>
      </c>
      <c r="O5" s="679" t="s">
        <v>211</v>
      </c>
      <c r="P5" s="365"/>
      <c r="Q5" s="365"/>
      <c r="R5" s="365"/>
      <c r="S5" s="365"/>
      <c r="T5" s="365"/>
      <c r="U5" s="365"/>
      <c r="V5" s="365"/>
      <c r="W5" s="365"/>
      <c r="X5" s="365"/>
      <c r="Y5" s="365"/>
    </row>
    <row r="6" spans="1:25" ht="42" outlineLevel="1" x14ac:dyDescent="0.25">
      <c r="A6" s="365"/>
      <c r="B6" s="658"/>
      <c r="C6" s="71" t="s">
        <v>222</v>
      </c>
      <c r="D6" s="71" t="s">
        <v>223</v>
      </c>
      <c r="E6" s="364" t="s">
        <v>1570</v>
      </c>
      <c r="F6" s="668"/>
      <c r="G6" s="661"/>
      <c r="H6" s="656"/>
      <c r="I6" s="362" t="s">
        <v>225</v>
      </c>
      <c r="J6" s="49" t="s">
        <v>226</v>
      </c>
      <c r="K6" s="49" t="s">
        <v>227</v>
      </c>
      <c r="L6" s="660"/>
      <c r="M6" s="668"/>
      <c r="N6" s="660"/>
      <c r="O6" s="679"/>
      <c r="P6" s="365"/>
      <c r="Q6" s="365"/>
      <c r="R6" s="365"/>
      <c r="S6" s="365"/>
      <c r="T6" s="365"/>
      <c r="U6" s="365"/>
      <c r="V6" s="365"/>
      <c r="W6" s="365"/>
      <c r="X6" s="365"/>
      <c r="Y6" s="365"/>
    </row>
    <row r="7" spans="1:25" ht="21" outlineLevel="1" x14ac:dyDescent="0.25">
      <c r="A7" s="365">
        <v>32</v>
      </c>
      <c r="B7" s="52">
        <f>COUNTIF(Tabla13[Estado],B5)</f>
        <v>2</v>
      </c>
      <c r="C7" s="52">
        <f>COUNTIFS(Tabla13[Estado],C5,Tabla13[LM SAP],"No Disponible")</f>
        <v>0</v>
      </c>
      <c r="D7" s="52">
        <f>COUNTIFS(Tabla13[Estado],C5,Tabla13[LM SAP],"Firmas SAP")</f>
        <v>0</v>
      </c>
      <c r="E7" s="52">
        <f>COUNTIFS(Tabla13[Estado],C5,Tabla13[LM SAP],"Disponible")+COUNTIFS(Tabla13[Estado],C5,Tabla13[LM SAP],"CONSULTAR")</f>
        <v>0</v>
      </c>
      <c r="F7" s="52">
        <f>COUNTIF(Tabla13[Estado],F5)</f>
        <v>0</v>
      </c>
      <c r="G7" s="52">
        <f>COUNTIF(Tabla13[Estado],G5)</f>
        <v>0</v>
      </c>
      <c r="H7" s="52">
        <f>COUNTIF(Tabla13[Estado],H5)</f>
        <v>0</v>
      </c>
      <c r="I7" s="52">
        <f>COUNTIF(Tabla13[Estado],"Parada: Material")</f>
        <v>0</v>
      </c>
      <c r="J7" s="52">
        <f>COUNTIF(Tabla13[Estado],"Parada: Diseño")</f>
        <v>0</v>
      </c>
      <c r="K7" s="52">
        <f>COUNTIF(Tabla13[Estado],"Parada: Instalación")</f>
        <v>1</v>
      </c>
      <c r="L7" s="52">
        <f>COUNTIF(Tabla13[Estado],L5)</f>
        <v>1</v>
      </c>
      <c r="M7" s="52">
        <f>COUNTIF(Tabla13[Estado],M5)</f>
        <v>33</v>
      </c>
      <c r="N7" s="52">
        <f>COUNTIF(Tabla13[Estado],N5)</f>
        <v>1</v>
      </c>
      <c r="O7" s="448">
        <f>SUM(B7:N7)</f>
        <v>38</v>
      </c>
      <c r="P7" s="365"/>
      <c r="Q7" s="365"/>
      <c r="R7" s="365"/>
      <c r="S7" s="365"/>
      <c r="T7" s="365"/>
      <c r="U7" s="365"/>
      <c r="V7" s="365"/>
      <c r="W7" s="365"/>
      <c r="X7" s="365"/>
      <c r="Y7" s="365"/>
    </row>
    <row r="8" spans="1:25" ht="21" outlineLevel="1" x14ac:dyDescent="0.25">
      <c r="A8" s="365"/>
      <c r="B8" s="53">
        <f t="shared" ref="B8:O8" si="0">B7/$O$7</f>
        <v>5.2631578947368418E-2</v>
      </c>
      <c r="C8" s="53">
        <f t="shared" si="0"/>
        <v>0</v>
      </c>
      <c r="D8" s="53">
        <f t="shared" si="0"/>
        <v>0</v>
      </c>
      <c r="E8" s="53">
        <f t="shared" si="0"/>
        <v>0</v>
      </c>
      <c r="F8" s="53">
        <f t="shared" si="0"/>
        <v>0</v>
      </c>
      <c r="G8" s="53">
        <f t="shared" si="0"/>
        <v>0</v>
      </c>
      <c r="H8" s="53">
        <f t="shared" si="0"/>
        <v>0</v>
      </c>
      <c r="I8" s="53">
        <f t="shared" si="0"/>
        <v>0</v>
      </c>
      <c r="J8" s="53">
        <f t="shared" si="0"/>
        <v>0</v>
      </c>
      <c r="K8" s="53">
        <f t="shared" si="0"/>
        <v>2.6315789473684209E-2</v>
      </c>
      <c r="L8" s="53">
        <f t="shared" si="0"/>
        <v>2.6315789473684209E-2</v>
      </c>
      <c r="M8" s="53">
        <f t="shared" si="0"/>
        <v>0.86842105263157898</v>
      </c>
      <c r="N8" s="53">
        <f t="shared" si="0"/>
        <v>2.6315789473684209E-2</v>
      </c>
      <c r="O8" s="449">
        <f t="shared" si="0"/>
        <v>1</v>
      </c>
      <c r="P8" s="365"/>
      <c r="Q8" s="365"/>
      <c r="R8" s="365"/>
      <c r="S8" s="365"/>
      <c r="T8" s="365"/>
      <c r="U8" s="365"/>
      <c r="V8" s="365"/>
      <c r="W8" s="365"/>
      <c r="X8" s="365"/>
      <c r="Y8" s="365"/>
    </row>
    <row r="9" spans="1:25" outlineLevel="1" x14ac:dyDescent="0.25">
      <c r="A9" s="365"/>
      <c r="B9" s="373"/>
      <c r="C9" s="373"/>
      <c r="D9" s="373"/>
      <c r="E9" s="374"/>
      <c r="F9" s="374"/>
      <c r="G9" s="365"/>
      <c r="H9" s="365"/>
      <c r="I9" s="365"/>
      <c r="J9" s="365"/>
      <c r="K9" s="365"/>
      <c r="L9" s="365"/>
      <c r="M9" s="365"/>
      <c r="N9" s="365"/>
      <c r="O9" s="445"/>
      <c r="P9" s="365"/>
      <c r="Q9" s="365"/>
      <c r="R9" s="365"/>
      <c r="S9" s="365"/>
      <c r="T9" s="365"/>
      <c r="U9" s="365"/>
      <c r="V9" s="365"/>
      <c r="W9" s="365"/>
      <c r="X9" s="365"/>
      <c r="Y9" s="365"/>
    </row>
    <row r="10" spans="1:25" outlineLevel="1" x14ac:dyDescent="0.25">
      <c r="A10" s="365"/>
      <c r="B10" s="365"/>
      <c r="C10" s="365"/>
      <c r="D10" s="365"/>
      <c r="E10" s="375"/>
      <c r="F10" s="375"/>
      <c r="G10" s="365"/>
      <c r="H10" s="365"/>
      <c r="I10" s="365"/>
      <c r="J10" s="365"/>
      <c r="K10" s="365"/>
      <c r="L10" s="365"/>
      <c r="M10" s="365"/>
      <c r="N10" s="365"/>
      <c r="O10" s="445"/>
      <c r="P10" s="365"/>
      <c r="Q10" s="365"/>
      <c r="R10" s="365"/>
      <c r="S10" s="365"/>
      <c r="T10" s="365"/>
      <c r="U10" s="365"/>
      <c r="V10" s="365"/>
      <c r="W10" s="365"/>
      <c r="X10" s="365"/>
      <c r="Y10" s="365"/>
    </row>
    <row r="11" spans="1:25" s="4" customFormat="1" ht="37.5" x14ac:dyDescent="0.25">
      <c r="A11" s="376" t="s">
        <v>8</v>
      </c>
      <c r="B11" s="376" t="s">
        <v>0</v>
      </c>
      <c r="C11" s="376" t="s">
        <v>230</v>
      </c>
      <c r="D11" s="376" t="s">
        <v>231</v>
      </c>
      <c r="E11" s="376" t="s">
        <v>232</v>
      </c>
      <c r="F11" s="376" t="s">
        <v>233</v>
      </c>
      <c r="G11" s="376" t="s">
        <v>1990</v>
      </c>
      <c r="H11" s="376" t="s">
        <v>235</v>
      </c>
      <c r="I11" s="376" t="s">
        <v>213</v>
      </c>
      <c r="J11" s="376" t="s">
        <v>236</v>
      </c>
      <c r="K11" s="376" t="s">
        <v>17</v>
      </c>
      <c r="L11" s="376" t="s">
        <v>237</v>
      </c>
      <c r="M11" s="376" t="s">
        <v>238</v>
      </c>
      <c r="N11" s="376" t="s">
        <v>239</v>
      </c>
      <c r="O11" s="450" t="s">
        <v>14</v>
      </c>
      <c r="P11" s="381" t="s">
        <v>240</v>
      </c>
      <c r="Q11" s="379" t="s">
        <v>241</v>
      </c>
      <c r="R11" s="379" t="s">
        <v>242</v>
      </c>
      <c r="S11" s="379" t="s">
        <v>243</v>
      </c>
      <c r="T11" s="380" t="s">
        <v>244</v>
      </c>
      <c r="U11" s="379" t="s">
        <v>245</v>
      </c>
      <c r="V11" s="379" t="s">
        <v>223</v>
      </c>
      <c r="W11" s="379" t="s">
        <v>234</v>
      </c>
      <c r="X11" s="382" t="s">
        <v>1991</v>
      </c>
      <c r="Y11" s="379" t="s">
        <v>1992</v>
      </c>
    </row>
    <row r="12" spans="1:25" s="464" customFormat="1" ht="24" x14ac:dyDescent="0.25">
      <c r="A12" s="453">
        <v>1</v>
      </c>
      <c r="B12" s="454" t="s">
        <v>4</v>
      </c>
      <c r="C12" s="455" t="s">
        <v>1993</v>
      </c>
      <c r="D12" s="456"/>
      <c r="E12" s="457" t="s">
        <v>1994</v>
      </c>
      <c r="F12" s="458">
        <v>1</v>
      </c>
      <c r="G12" s="459"/>
      <c r="H12" s="460" t="s">
        <v>261</v>
      </c>
      <c r="I12" s="460"/>
      <c r="J12" s="460" t="s">
        <v>474</v>
      </c>
      <c r="K12" s="460" t="s">
        <v>221</v>
      </c>
      <c r="L12" s="460">
        <v>60004564</v>
      </c>
      <c r="M12" s="461">
        <v>45684</v>
      </c>
      <c r="N12" s="461">
        <v>45572</v>
      </c>
      <c r="O12" s="462" t="s">
        <v>686</v>
      </c>
      <c r="P12" s="463" t="str">
        <f>IF(LEFT(B12,5)="09735",
    IF(ISNA(VLOOKUP(Tabla13[[#This Row],[Apoyo]],'LM SAP'!A:G,1,FALSE)),
        "No Disponible",
        IF(VLOOKUP(Tabla13[[#This Row],[Apoyo]],'LM SAP'!A:AD,9,FALSE)="RR",
            "Disponible",
            "Firmas SAP"
        )
    ),
    "CONSULTAR"
)</f>
        <v>No Disponible</v>
      </c>
      <c r="Q12" s="460" t="str">
        <f>MID(Tabla13[[#This Row],[Código Indra]],1,13)</f>
        <v>0973520000000</v>
      </c>
      <c r="R12" s="464" t="str">
        <f>IF(ISNA(VLOOKUP(Tabla13[[#This Row],[Código Indra]],#REF!,1,FALSE)),"NO", "SI")</f>
        <v>SI</v>
      </c>
      <c r="S12" s="460" t="str">
        <f>IF(ISNA(VLOOKUP(Tabla13[[#This Row],[Código Indra]],Tabla132[[Código INDRA]:[Nombre]],1,FALSE)),"NO", "SI")</f>
        <v>NO</v>
      </c>
      <c r="T12" s="465"/>
      <c r="U12" s="464" t="s">
        <v>227</v>
      </c>
      <c r="V12" s="464" t="e">
        <f>VLOOKUP(Tabla13[[#This Row],[Apoyo]],'LM SAP'!A:I,9,FALSE)</f>
        <v>#N/A</v>
      </c>
      <c r="X12" s="466"/>
      <c r="Y12" s="464">
        <f>Tabla13[[#This Row],[ID]]</f>
        <v>1</v>
      </c>
    </row>
    <row r="13" spans="1:25" s="464" customFormat="1" ht="24" x14ac:dyDescent="0.25">
      <c r="A13" s="453">
        <v>2</v>
      </c>
      <c r="B13" s="454" t="s">
        <v>1422</v>
      </c>
      <c r="C13" s="455" t="s">
        <v>1423</v>
      </c>
      <c r="D13" s="456" t="s">
        <v>1995</v>
      </c>
      <c r="E13" s="457" t="s">
        <v>1996</v>
      </c>
      <c r="F13" s="458">
        <v>1</v>
      </c>
      <c r="G13" s="459"/>
      <c r="H13" s="460"/>
      <c r="I13" s="460" t="s">
        <v>653</v>
      </c>
      <c r="J13" s="460" t="s">
        <v>1997</v>
      </c>
      <c r="K13" s="460" t="s">
        <v>1411</v>
      </c>
      <c r="L13" s="460">
        <v>60005436</v>
      </c>
      <c r="M13" s="461">
        <v>45665</v>
      </c>
      <c r="N13" s="461">
        <v>45694</v>
      </c>
      <c r="O13" s="467" t="s">
        <v>1998</v>
      </c>
      <c r="P13" s="463" t="str">
        <f>IF(LEFT(B13,5)="09735",
    IF(ISNA(VLOOKUP(Tabla13[[#This Row],[Apoyo]],'LM SAP'!A:G,1,FALSE)),
        "No Disponible",
        IF(VLOOKUP(Tabla13[[#This Row],[Apoyo]],'LM SAP'!A:AD,9,FALSE)="RR",
            "Disponible",
            "Firmas SAP"
        )
    ),
    "CONSULTAR"
)</f>
        <v>No Disponible</v>
      </c>
      <c r="Q13" s="460" t="str">
        <f>MID(Tabla13[[#This Row],[Código Indra]],1,13)</f>
        <v>0973525010000</v>
      </c>
      <c r="R13" s="464" t="str">
        <f>IF(ISNA(VLOOKUP(Tabla13[[#This Row],[Código Indra]],#REF!,1,FALSE)),"NO", "SI")</f>
        <v>SI</v>
      </c>
      <c r="S13" s="460" t="str">
        <f>IF(ISNA(VLOOKUP(Tabla13[[#This Row],[Código Indra]],Tabla132[[Código INDRA]:[Nombre]],1,FALSE)),"NO", "SI")</f>
        <v>SI</v>
      </c>
      <c r="T13" s="465"/>
      <c r="U13" s="464" t="s">
        <v>227</v>
      </c>
      <c r="V13" s="464" t="e">
        <f>VLOOKUP(Tabla13[[#This Row],[Apoyo]],'LM SAP'!A:I,9,FALSE)</f>
        <v>#N/A</v>
      </c>
      <c r="X13" s="466"/>
      <c r="Y13" s="464">
        <f>Tabla13[[#This Row],[ID]]</f>
        <v>2</v>
      </c>
    </row>
    <row r="14" spans="1:25" s="464" customFormat="1" ht="24" x14ac:dyDescent="0.25">
      <c r="A14" s="453">
        <v>3</v>
      </c>
      <c r="B14" s="454" t="s">
        <v>97</v>
      </c>
      <c r="C14" s="455" t="s">
        <v>98</v>
      </c>
      <c r="D14" s="456" t="s">
        <v>1423</v>
      </c>
      <c r="E14" s="457" t="s">
        <v>1999</v>
      </c>
      <c r="F14" s="458">
        <v>1</v>
      </c>
      <c r="G14" s="459"/>
      <c r="H14" s="460" t="s">
        <v>2000</v>
      </c>
      <c r="I14" s="460" t="s">
        <v>653</v>
      </c>
      <c r="J14" s="460" t="s">
        <v>1318</v>
      </c>
      <c r="K14" s="460" t="s">
        <v>1411</v>
      </c>
      <c r="L14" s="460">
        <v>60005437</v>
      </c>
      <c r="M14" s="461">
        <v>45665</v>
      </c>
      <c r="N14" s="461"/>
      <c r="O14" s="467" t="s">
        <v>2001</v>
      </c>
      <c r="P14" s="463" t="str">
        <f>IF(LEFT(B14,5)="09735",
    IF(ISNA(VLOOKUP(Tabla13[[#This Row],[Apoyo]],'LM SAP'!A:G,1,FALSE)),
        "No Disponible",
        IF(VLOOKUP(Tabla13[[#This Row],[Apoyo]],'LM SAP'!A:AD,9,FALSE)="RR",
            "Disponible",
            "Firmas SAP"
        )
    ),
    "CONSULTAR"
)</f>
        <v>No Disponible</v>
      </c>
      <c r="Q14" s="460" t="str">
        <f>MID(Tabla13[[#This Row],[Código Indra]],1,13)</f>
        <v>0973525020000</v>
      </c>
      <c r="R14" s="464" t="str">
        <f>IF(ISNA(VLOOKUP(Tabla13[[#This Row],[Código Indra]],#REF!,1,FALSE)),"NO", "SI")</f>
        <v>SI</v>
      </c>
      <c r="S14" s="460" t="str">
        <f>IF(ISNA(VLOOKUP(Tabla13[[#This Row],[Código Indra]],Tabla132[[Código INDRA]:[Nombre]],1,FALSE)),"NO", "SI")</f>
        <v>SI</v>
      </c>
      <c r="T14" s="465"/>
      <c r="U14" s="464" t="s">
        <v>227</v>
      </c>
      <c r="V14" s="464" t="e">
        <f>VLOOKUP(Tabla13[[#This Row],[Apoyo]],'LM SAP'!A:I,9,FALSE)</f>
        <v>#N/A</v>
      </c>
      <c r="W14" s="464" t="s">
        <v>234</v>
      </c>
      <c r="X14" s="466"/>
      <c r="Y14" s="464">
        <f>Tabla13[[#This Row],[ID]]</f>
        <v>3</v>
      </c>
    </row>
    <row r="15" spans="1:25" s="464" customFormat="1" ht="36" x14ac:dyDescent="0.25">
      <c r="A15" s="453">
        <v>4</v>
      </c>
      <c r="B15" s="454" t="s">
        <v>120</v>
      </c>
      <c r="C15" s="468" t="s">
        <v>121</v>
      </c>
      <c r="D15" s="456" t="s">
        <v>98</v>
      </c>
      <c r="E15" s="457" t="s">
        <v>1377</v>
      </c>
      <c r="F15" s="458">
        <v>1</v>
      </c>
      <c r="G15" s="459"/>
      <c r="H15" s="460" t="s">
        <v>2000</v>
      </c>
      <c r="I15" s="460" t="s">
        <v>276</v>
      </c>
      <c r="J15" s="460" t="s">
        <v>1318</v>
      </c>
      <c r="K15" s="460" t="s">
        <v>1411</v>
      </c>
      <c r="L15" s="460">
        <v>60006913</v>
      </c>
      <c r="M15" s="461">
        <v>45812</v>
      </c>
      <c r="N15" s="461">
        <v>45812</v>
      </c>
      <c r="O15" s="467" t="s">
        <v>2002</v>
      </c>
      <c r="P15" s="463" t="str">
        <f>IF(LEFT(B15,5)="09735",
    IF(ISNA(VLOOKUP(Tabla13[[#This Row],[Apoyo]],'LM SAP'!A:G,1,FALSE)),
        "No Disponible",
        IF(VLOOKUP(Tabla13[[#This Row],[Apoyo]],'LM SAP'!A:AD,9,FALSE)="RR",
            "Disponible",
            "Firmas SAP"
        )
    ),
    "CONSULTAR"
)</f>
        <v>Disponible</v>
      </c>
      <c r="Q15" s="460" t="str">
        <f>MID(Tabla13[[#This Row],[Código Indra]],1,13)</f>
        <v>0973525030000</v>
      </c>
      <c r="R15" s="464" t="str">
        <f>IF(ISNA(VLOOKUP(Tabla13[[#This Row],[Código Indra]],#REF!,1,FALSE)),"NO", "SI")</f>
        <v>SI</v>
      </c>
      <c r="S15" s="460" t="str">
        <f>IF(ISNA(VLOOKUP(Tabla13[[#This Row],[Código Indra]],Tabla132[[Código INDRA]:[Nombre]],1,FALSE)),"NO", "SI")</f>
        <v>SI</v>
      </c>
      <c r="T15" s="465"/>
      <c r="U15" s="464" t="s">
        <v>227</v>
      </c>
      <c r="V15" s="464" t="str">
        <f>VLOOKUP(Tabla13[[#This Row],[Apoyo]],'LM SAP'!A:I,9,FALSE)</f>
        <v>RR</v>
      </c>
      <c r="W15" s="464" t="s">
        <v>234</v>
      </c>
      <c r="X15" s="466"/>
      <c r="Y15" s="464">
        <f>Tabla13[[#This Row],[ID]]</f>
        <v>4</v>
      </c>
    </row>
    <row r="16" spans="1:25" s="464" customFormat="1" ht="84" x14ac:dyDescent="0.25">
      <c r="A16" s="453">
        <v>5</v>
      </c>
      <c r="B16" s="454" t="s">
        <v>257</v>
      </c>
      <c r="C16" s="469" t="s">
        <v>258</v>
      </c>
      <c r="D16" s="456" t="s">
        <v>121</v>
      </c>
      <c r="E16" s="457" t="s">
        <v>2003</v>
      </c>
      <c r="F16" s="458">
        <v>1</v>
      </c>
      <c r="G16" s="459"/>
      <c r="H16" s="460"/>
      <c r="I16" s="460" t="s">
        <v>276</v>
      </c>
      <c r="J16" s="460">
        <v>24360001</v>
      </c>
      <c r="K16" s="460" t="s">
        <v>1411</v>
      </c>
      <c r="L16" s="460">
        <v>60004274</v>
      </c>
      <c r="M16" s="461">
        <v>45546</v>
      </c>
      <c r="N16" s="461">
        <v>45574</v>
      </c>
      <c r="O16" s="470" t="s">
        <v>2004</v>
      </c>
      <c r="P16" s="463" t="str">
        <f>IF(LEFT(B16,5)="09735",
    IF(ISNA(VLOOKUP(Tabla13[[#This Row],[Apoyo]],'LM SAP'!A:G,1,FALSE)),
        "No Disponible",
        IF(VLOOKUP(Tabla13[[#This Row],[Apoyo]],'LM SAP'!A:AD,9,FALSE)="RR",
            "Disponible",
            "Firmas SAP"
        )
    ),
    "CONSULTAR"
)</f>
        <v>No Disponible</v>
      </c>
      <c r="Q16" s="460" t="str">
        <f>MID(Tabla13[[#This Row],[Código Indra]],1,13)</f>
        <v>0973525030500</v>
      </c>
      <c r="R16" s="464" t="str">
        <f>IF(ISNA(VLOOKUP(Tabla13[[#This Row],[Código Indra]],#REF!,1,FALSE)),"NO", "SI")</f>
        <v>SI</v>
      </c>
      <c r="S16" s="460" t="str">
        <f>IF(ISNA(VLOOKUP(Tabla13[[#This Row],[Código Indra]],Tabla132[[Código INDRA]:[Nombre]],1,FALSE)),"NO", "SI")</f>
        <v>SI</v>
      </c>
      <c r="T16" s="465" t="s">
        <v>2005</v>
      </c>
      <c r="U16" s="464" t="s">
        <v>256</v>
      </c>
      <c r="V16" s="464" t="e">
        <f>VLOOKUP(Tabla13[[#This Row],[Apoyo]],'LM SAP'!A:I,9,FALSE)</f>
        <v>#N/A</v>
      </c>
      <c r="X16" s="466">
        <v>8</v>
      </c>
      <c r="Y16" s="464">
        <f>Tabla13[[#This Row],[ID]]</f>
        <v>5</v>
      </c>
    </row>
    <row r="17" spans="1:25" s="464" customFormat="1" ht="36" x14ac:dyDescent="0.25">
      <c r="A17" s="453">
        <v>6</v>
      </c>
      <c r="B17" s="454" t="s">
        <v>264</v>
      </c>
      <c r="C17" s="469" t="s">
        <v>265</v>
      </c>
      <c r="D17" s="456" t="s">
        <v>121</v>
      </c>
      <c r="E17" s="457" t="s">
        <v>2006</v>
      </c>
      <c r="F17" s="458">
        <v>1</v>
      </c>
      <c r="G17" s="459"/>
      <c r="H17" s="460"/>
      <c r="I17" s="460" t="s">
        <v>276</v>
      </c>
      <c r="J17" s="460">
        <v>24360001</v>
      </c>
      <c r="K17" s="460" t="s">
        <v>1411</v>
      </c>
      <c r="L17" s="460">
        <v>60004275</v>
      </c>
      <c r="M17" s="461">
        <v>45546</v>
      </c>
      <c r="N17" s="461">
        <v>45558</v>
      </c>
      <c r="O17" s="470" t="s">
        <v>267</v>
      </c>
      <c r="P17" s="463" t="str">
        <f>IF(LEFT(B17,5)="09735",
    IF(ISNA(VLOOKUP(Tabla13[[#This Row],[Apoyo]],'LM SAP'!A:G,1,FALSE)),
        "No Disponible",
        IF(VLOOKUP(Tabla13[[#This Row],[Apoyo]],'LM SAP'!A:AD,9,FALSE)="RR",
            "Disponible",
            "Firmas SAP"
        )
    ),
    "CONSULTAR"
)</f>
        <v>No Disponible</v>
      </c>
      <c r="Q17" s="460" t="str">
        <f>MID(Tabla13[[#This Row],[Código Indra]],1,13)</f>
        <v>0973525031000</v>
      </c>
      <c r="R17" s="464" t="str">
        <f>IF(ISNA(VLOOKUP(Tabla13[[#This Row],[Código Indra]],#REF!,1,FALSE)),"NO", "SI")</f>
        <v>SI</v>
      </c>
      <c r="S17" s="460" t="str">
        <f>IF(ISNA(VLOOKUP(Tabla13[[#This Row],[Código Indra]],Tabla132[[Código INDRA]:[Nombre]],1,FALSE)),"NO", "SI")</f>
        <v>SI</v>
      </c>
      <c r="T17" s="465" t="s">
        <v>2005</v>
      </c>
      <c r="U17" s="464" t="s">
        <v>256</v>
      </c>
      <c r="V17" s="464" t="e">
        <f>VLOOKUP(Tabla13[[#This Row],[Apoyo]],'LM SAP'!A:I,9,FALSE)</f>
        <v>#N/A</v>
      </c>
      <c r="X17" s="466">
        <v>8</v>
      </c>
      <c r="Y17" s="464">
        <f>Tabla13[[#This Row],[ID]]</f>
        <v>6</v>
      </c>
    </row>
    <row r="18" spans="1:25" s="464" customFormat="1" ht="36" x14ac:dyDescent="0.25">
      <c r="A18" s="453">
        <v>7</v>
      </c>
      <c r="B18" s="471" t="s">
        <v>123</v>
      </c>
      <c r="C18" s="455" t="s">
        <v>124</v>
      </c>
      <c r="D18" s="456" t="s">
        <v>98</v>
      </c>
      <c r="E18" s="457" t="s">
        <v>1378</v>
      </c>
      <c r="F18" s="458">
        <v>1</v>
      </c>
      <c r="G18" s="459" t="s">
        <v>260</v>
      </c>
      <c r="H18" s="460"/>
      <c r="I18" s="460" t="s">
        <v>276</v>
      </c>
      <c r="J18" s="460" t="s">
        <v>1318</v>
      </c>
      <c r="K18" s="460" t="s">
        <v>1411</v>
      </c>
      <c r="L18" s="460">
        <v>60005423</v>
      </c>
      <c r="M18" s="461">
        <v>45643</v>
      </c>
      <c r="N18" s="461">
        <v>45671</v>
      </c>
      <c r="O18" s="470" t="s">
        <v>2007</v>
      </c>
      <c r="P18" s="463" t="str">
        <f>IF(LEFT(B18,5)="09735",
    IF(ISNA(VLOOKUP(Tabla13[[#This Row],[Apoyo]],'LM SAP'!A:G,1,FALSE)),
        "No Disponible",
        IF(VLOOKUP(Tabla13[[#This Row],[Apoyo]],'LM SAP'!A:AD,9,FALSE)="RR",
            "Disponible",
            "Firmas SAP"
        )
    ),
    "CONSULTAR"
)</f>
        <v>No Disponible</v>
      </c>
      <c r="Q18" s="460" t="str">
        <f>MID(Tabla13[[#This Row],[Código Indra]],1,13)</f>
        <v>0973525040000</v>
      </c>
      <c r="R18" s="464" t="str">
        <f>IF(ISNA(VLOOKUP(Tabla13[[#This Row],[Código Indra]],#REF!,1,FALSE)),"NO", "SI")</f>
        <v>SI</v>
      </c>
      <c r="S18" s="460" t="str">
        <f>IF(ISNA(VLOOKUP(Tabla13[[#This Row],[Código Indra]],Tabla132[[Código INDRA]:[Nombre]],1,FALSE)),"NO", "SI")</f>
        <v>SI</v>
      </c>
      <c r="T18" s="465" t="s">
        <v>2005</v>
      </c>
      <c r="U18" s="464" t="s">
        <v>227</v>
      </c>
      <c r="V18" s="464" t="e">
        <f>VLOOKUP(Tabla13[[#This Row],[Apoyo]],'LM SAP'!A:I,9,FALSE)</f>
        <v>#N/A</v>
      </c>
      <c r="W18" s="464" t="s">
        <v>234</v>
      </c>
      <c r="X18" s="466"/>
      <c r="Y18" s="464">
        <f>Tabla13[[#This Row],[ID]]</f>
        <v>7</v>
      </c>
    </row>
    <row r="19" spans="1:25" s="464" customFormat="1" ht="36" x14ac:dyDescent="0.25">
      <c r="A19" s="453">
        <v>8</v>
      </c>
      <c r="B19" s="471" t="s">
        <v>125</v>
      </c>
      <c r="C19" s="455" t="s">
        <v>126</v>
      </c>
      <c r="D19" s="456" t="s">
        <v>98</v>
      </c>
      <c r="E19" s="457" t="s">
        <v>1379</v>
      </c>
      <c r="F19" s="458">
        <v>1</v>
      </c>
      <c r="G19" s="459"/>
      <c r="H19" s="460"/>
      <c r="I19" s="460" t="s">
        <v>276</v>
      </c>
      <c r="J19" s="460" t="s">
        <v>1318</v>
      </c>
      <c r="K19" s="460" t="s">
        <v>1411</v>
      </c>
      <c r="L19" s="460">
        <v>60005580</v>
      </c>
      <c r="M19" s="461">
        <v>45673</v>
      </c>
      <c r="N19" s="461">
        <v>45674</v>
      </c>
      <c r="O19" s="470" t="s">
        <v>2008</v>
      </c>
      <c r="P19" s="463" t="str">
        <f>IF(LEFT(B19,5)="09735",
    IF(ISNA(VLOOKUP(Tabla13[[#This Row],[Apoyo]],'LM SAP'!A:G,1,FALSE)),
        "No Disponible",
        IF(VLOOKUP(Tabla13[[#This Row],[Apoyo]],'LM SAP'!A:AD,9,FALSE)="RR",
            "Disponible",
            "Firmas SAP"
        )
    ),
    "CONSULTAR"
)</f>
        <v>No Disponible</v>
      </c>
      <c r="Q19" s="460" t="str">
        <f>MID(Tabla13[[#This Row],[Código Indra]],1,13)</f>
        <v>0973525050000</v>
      </c>
      <c r="R19" s="464" t="str">
        <f>IF(ISNA(VLOOKUP(Tabla13[[#This Row],[Código Indra]],#REF!,1,FALSE)),"NO", "SI")</f>
        <v>SI</v>
      </c>
      <c r="S19" s="460" t="str">
        <f>IF(ISNA(VLOOKUP(Tabla13[[#This Row],[Código Indra]],Tabla132[[Código INDRA]:[Nombre]],1,FALSE)),"NO", "SI")</f>
        <v>SI</v>
      </c>
      <c r="T19" s="465" t="s">
        <v>2005</v>
      </c>
      <c r="U19" s="464" t="s">
        <v>227</v>
      </c>
      <c r="V19" s="464" t="e">
        <f>VLOOKUP(Tabla13[[#This Row],[Apoyo]],'LM SAP'!A:I,9,FALSE)</f>
        <v>#N/A</v>
      </c>
      <c r="W19" s="464" t="s">
        <v>234</v>
      </c>
      <c r="X19" s="466"/>
      <c r="Y19" s="464">
        <f>Tabla13[[#This Row],[ID]]</f>
        <v>8</v>
      </c>
    </row>
    <row r="20" spans="1:25" s="464" customFormat="1" ht="48" x14ac:dyDescent="0.25">
      <c r="A20" s="453">
        <v>9</v>
      </c>
      <c r="B20" s="454" t="s">
        <v>127</v>
      </c>
      <c r="C20" s="455" t="s">
        <v>128</v>
      </c>
      <c r="D20" s="456" t="s">
        <v>98</v>
      </c>
      <c r="E20" s="457" t="s">
        <v>1380</v>
      </c>
      <c r="F20" s="458">
        <v>1</v>
      </c>
      <c r="G20" s="459"/>
      <c r="H20" s="460" t="s">
        <v>2000</v>
      </c>
      <c r="I20" s="460" t="s">
        <v>276</v>
      </c>
      <c r="J20" s="460" t="s">
        <v>1318</v>
      </c>
      <c r="K20" s="460" t="s">
        <v>1411</v>
      </c>
      <c r="L20" s="460">
        <v>60005545</v>
      </c>
      <c r="M20" s="461">
        <v>45678</v>
      </c>
      <c r="N20" s="461">
        <v>45694</v>
      </c>
      <c r="O20" s="472" t="s">
        <v>2009</v>
      </c>
      <c r="P20" s="463" t="str">
        <f>IF(LEFT(B20,5)="09735",
    IF(ISNA(VLOOKUP(Tabla13[[#This Row],[Apoyo]],'LM SAP'!A:G,1,FALSE)),
        "No Disponible",
        IF(VLOOKUP(Tabla13[[#This Row],[Apoyo]],'LM SAP'!A:AD,9,FALSE)="RR",
            "Disponible",
            "Firmas SAP"
        )
    ),
    "CONSULTAR"
)</f>
        <v>Disponible</v>
      </c>
      <c r="Q20" s="460" t="str">
        <f>MID(Tabla13[[#This Row],[Código Indra]],1,13)</f>
        <v>0973525060000</v>
      </c>
      <c r="R20" s="464" t="str">
        <f>IF(ISNA(VLOOKUP(Tabla13[[#This Row],[Código Indra]],#REF!,1,FALSE)),"NO", "SI")</f>
        <v>SI</v>
      </c>
      <c r="S20" s="460" t="str">
        <f>IF(ISNA(VLOOKUP(Tabla13[[#This Row],[Código Indra]],Tabla132[[Código INDRA]:[Nombre]],1,FALSE)),"NO", "SI")</f>
        <v>SI</v>
      </c>
      <c r="T20" s="465" t="s">
        <v>2005</v>
      </c>
      <c r="U20" s="464" t="s">
        <v>227</v>
      </c>
      <c r="V20" s="464" t="str">
        <f>VLOOKUP(Tabla13[[#This Row],[Apoyo]],'LM SAP'!A:I,9,FALSE)</f>
        <v>RR</v>
      </c>
      <c r="W20" s="464" t="s">
        <v>234</v>
      </c>
      <c r="X20" s="466"/>
      <c r="Y20" s="464">
        <f>Tabla13[[#This Row],[ID]]</f>
        <v>9</v>
      </c>
    </row>
    <row r="21" spans="1:25" s="464" customFormat="1" ht="84" x14ac:dyDescent="0.25">
      <c r="A21" s="453">
        <v>10</v>
      </c>
      <c r="B21" s="454" t="s">
        <v>268</v>
      </c>
      <c r="C21" s="469" t="s">
        <v>1432</v>
      </c>
      <c r="D21" s="456" t="s">
        <v>128</v>
      </c>
      <c r="E21" s="457" t="s">
        <v>2010</v>
      </c>
      <c r="F21" s="458">
        <v>1</v>
      </c>
      <c r="G21" s="459"/>
      <c r="H21" s="460"/>
      <c r="I21" s="460" t="s">
        <v>2011</v>
      </c>
      <c r="J21" s="460">
        <v>24360001</v>
      </c>
      <c r="K21" s="460" t="s">
        <v>1411</v>
      </c>
      <c r="L21" s="460">
        <v>60004385</v>
      </c>
      <c r="M21" s="461">
        <v>45546</v>
      </c>
      <c r="N21" s="461">
        <v>45574</v>
      </c>
      <c r="O21" s="470" t="s">
        <v>2004</v>
      </c>
      <c r="P21" s="463" t="str">
        <f>IF(LEFT(B21,5)="09735",
    IF(ISNA(VLOOKUP(Tabla13[[#This Row],[Apoyo]],'LM SAP'!A:G,1,FALSE)),
        "No Disponible",
        IF(VLOOKUP(Tabla13[[#This Row],[Apoyo]],'LM SAP'!A:AD,9,FALSE)="RR",
            "Disponible",
            "Firmas SAP"
        )
    ),
    "CONSULTAR"
)</f>
        <v>No Disponible</v>
      </c>
      <c r="Q21" s="460" t="str">
        <f>MID(Tabla13[[#This Row],[Código Indra]],1,13)</f>
        <v>0973525060500</v>
      </c>
      <c r="R21" s="464" t="str">
        <f>IF(ISNA(VLOOKUP(Tabla13[[#This Row],[Código Indra]],#REF!,1,FALSE)),"NO", "SI")</f>
        <v>SI</v>
      </c>
      <c r="S21" s="460" t="str">
        <f>IF(ISNA(VLOOKUP(Tabla13[[#This Row],[Código Indra]],Tabla132[[Código INDRA]:[Nombre]],1,FALSE)),"NO", "SI")</f>
        <v>SI</v>
      </c>
      <c r="T21" s="465" t="s">
        <v>2005</v>
      </c>
      <c r="U21" s="464" t="s">
        <v>256</v>
      </c>
      <c r="V21" s="464" t="e">
        <f>VLOOKUP(Tabla13[[#This Row],[Apoyo]],'LM SAP'!A:I,9,FALSE)</f>
        <v>#N/A</v>
      </c>
      <c r="X21" s="466">
        <v>8</v>
      </c>
      <c r="Y21" s="464">
        <f>Tabla13[[#This Row],[ID]]</f>
        <v>10</v>
      </c>
    </row>
    <row r="22" spans="1:25" s="464" customFormat="1" ht="36" x14ac:dyDescent="0.25">
      <c r="A22" s="453">
        <v>11</v>
      </c>
      <c r="B22" s="454" t="s">
        <v>690</v>
      </c>
      <c r="C22" s="469" t="s">
        <v>691</v>
      </c>
      <c r="D22" s="456" t="s">
        <v>128</v>
      </c>
      <c r="E22" s="457" t="s">
        <v>692</v>
      </c>
      <c r="F22" s="458">
        <v>1</v>
      </c>
      <c r="G22" s="459"/>
      <c r="H22" s="460"/>
      <c r="I22" s="460" t="s">
        <v>2011</v>
      </c>
      <c r="J22" s="460" t="s">
        <v>1318</v>
      </c>
      <c r="K22" s="460" t="s">
        <v>1411</v>
      </c>
      <c r="L22" s="460">
        <v>60004390</v>
      </c>
      <c r="M22" s="461">
        <v>45551</v>
      </c>
      <c r="N22" s="461">
        <v>45562</v>
      </c>
      <c r="O22" s="470" t="s">
        <v>693</v>
      </c>
      <c r="P22" s="463" t="str">
        <f>IF(LEFT(B22,5)="09735",
    IF(ISNA(VLOOKUP(Tabla13[[#This Row],[Apoyo]],'LM SAP'!A:G,1,FALSE)),
        "No Disponible",
        IF(VLOOKUP(Tabla13[[#This Row],[Apoyo]],'LM SAP'!A:AD,9,FALSE)="RR",
            "Disponible",
            "Firmas SAP"
        )
    ),
    "CONSULTAR"
)</f>
        <v>No Disponible</v>
      </c>
      <c r="Q22" s="460" t="str">
        <f>MID(Tabla13[[#This Row],[Código Indra]],1,13)</f>
        <v>0973525060900</v>
      </c>
      <c r="R22" s="464" t="str">
        <f>IF(ISNA(VLOOKUP(Tabla13[[#This Row],[Código Indra]],#REF!,1,FALSE)),"NO", "SI")</f>
        <v>SI</v>
      </c>
      <c r="S22" s="460" t="str">
        <f>IF(ISNA(VLOOKUP(Tabla13[[#This Row],[Código Indra]],Tabla132[[Código INDRA]:[Nombre]],1,FALSE)),"NO", "SI")</f>
        <v>SI</v>
      </c>
      <c r="T22" s="465" t="s">
        <v>2005</v>
      </c>
      <c r="U22" s="464" t="s">
        <v>256</v>
      </c>
      <c r="V22" s="464" t="e">
        <f>VLOOKUP(Tabla13[[#This Row],[Apoyo]],'LM SAP'!A:I,9,FALSE)</f>
        <v>#N/A</v>
      </c>
      <c r="X22" s="466">
        <v>8</v>
      </c>
      <c r="Y22" s="464">
        <f>Tabla13[[#This Row],[ID]]</f>
        <v>11</v>
      </c>
    </row>
    <row r="23" spans="1:25" s="464" customFormat="1" ht="36" x14ac:dyDescent="0.25">
      <c r="A23" s="453">
        <v>12</v>
      </c>
      <c r="B23" s="473" t="s">
        <v>133</v>
      </c>
      <c r="C23" s="455" t="s">
        <v>134</v>
      </c>
      <c r="D23" s="456" t="s">
        <v>98</v>
      </c>
      <c r="E23" s="457" t="s">
        <v>1381</v>
      </c>
      <c r="F23" s="458">
        <v>1</v>
      </c>
      <c r="G23" s="459"/>
      <c r="H23" s="460" t="s">
        <v>2000</v>
      </c>
      <c r="I23" s="460" t="s">
        <v>276</v>
      </c>
      <c r="J23" s="460" t="s">
        <v>1318</v>
      </c>
      <c r="K23" s="460" t="s">
        <v>1411</v>
      </c>
      <c r="L23" s="460">
        <v>60005300</v>
      </c>
      <c r="M23" s="461">
        <v>45631</v>
      </c>
      <c r="N23" s="461">
        <v>45671</v>
      </c>
      <c r="O23" s="467" t="s">
        <v>2012</v>
      </c>
      <c r="P23" s="463" t="str">
        <f>IF(LEFT(B23,5)="09735",
    IF(ISNA(VLOOKUP(Tabla13[[#This Row],[Apoyo]],'LM SAP'!A:G,1,FALSE)),
        "No Disponible",
        IF(VLOOKUP(Tabla13[[#This Row],[Apoyo]],'LM SAP'!A:AD,9,FALSE)="RR",
            "Disponible",
            "Firmas SAP"
        )
    ),
    "CONSULTAR"
)</f>
        <v>No Disponible</v>
      </c>
      <c r="Q23" s="460" t="str">
        <f>MID(Tabla13[[#This Row],[Código Indra]],1,13)</f>
        <v>0973525070000</v>
      </c>
      <c r="R23" s="464" t="str">
        <f>IF(ISNA(VLOOKUP(Tabla13[[#This Row],[Código Indra]],#REF!,1,FALSE)),"NO", "SI")</f>
        <v>SI</v>
      </c>
      <c r="S23" s="460" t="str">
        <f>IF(ISNA(VLOOKUP(Tabla13[[#This Row],[Código Indra]],Tabla132[[Código INDRA]:[Nombre]],1,FALSE)),"NO", "SI")</f>
        <v>SI</v>
      </c>
      <c r="T23" s="465" t="s">
        <v>2005</v>
      </c>
      <c r="U23" s="464" t="s">
        <v>227</v>
      </c>
      <c r="V23" s="464" t="e">
        <f>VLOOKUP(Tabla13[[#This Row],[Apoyo]],'LM SAP'!A:I,9,FALSE)</f>
        <v>#N/A</v>
      </c>
      <c r="W23" s="464" t="s">
        <v>234</v>
      </c>
      <c r="X23" s="466"/>
      <c r="Y23" s="464">
        <f>Tabla13[[#This Row],[ID]]</f>
        <v>12</v>
      </c>
    </row>
    <row r="24" spans="1:25" s="464" customFormat="1" ht="48" x14ac:dyDescent="0.25">
      <c r="A24" s="453">
        <v>13</v>
      </c>
      <c r="B24" s="454" t="s">
        <v>272</v>
      </c>
      <c r="C24" s="469" t="s">
        <v>273</v>
      </c>
      <c r="D24" s="456" t="s">
        <v>134</v>
      </c>
      <c r="E24" s="457" t="s">
        <v>2013</v>
      </c>
      <c r="F24" s="458">
        <v>1</v>
      </c>
      <c r="G24" s="459"/>
      <c r="H24" s="460"/>
      <c r="I24" s="460" t="s">
        <v>276</v>
      </c>
      <c r="J24" s="460">
        <v>24360001</v>
      </c>
      <c r="K24" s="460" t="s">
        <v>1411</v>
      </c>
      <c r="L24" s="460">
        <v>60004276</v>
      </c>
      <c r="M24" s="461">
        <v>45546</v>
      </c>
      <c r="N24" s="461">
        <v>45561</v>
      </c>
      <c r="O24" s="470" t="s">
        <v>277</v>
      </c>
      <c r="P24" s="463" t="str">
        <f>IF(LEFT(B24,5)="09735",
    IF(ISNA(VLOOKUP(Tabla13[[#This Row],[Apoyo]],'LM SAP'!A:G,1,FALSE)),
        "No Disponible",
        IF(VLOOKUP(Tabla13[[#This Row],[Apoyo]],'LM SAP'!A:AD,9,FALSE)="RR",
            "Disponible",
            "Firmas SAP"
        )
    ),
    "CONSULTAR"
)</f>
        <v>No Disponible</v>
      </c>
      <c r="Q24" s="460" t="str">
        <f>MID(Tabla13[[#This Row],[Código Indra]],1,13)</f>
        <v>0973525070100</v>
      </c>
      <c r="R24" s="464" t="str">
        <f>IF(ISNA(VLOOKUP(Tabla13[[#This Row],[Código Indra]],#REF!,1,FALSE)),"NO", "SI")</f>
        <v>SI</v>
      </c>
      <c r="S24" s="460" t="str">
        <f>IF(ISNA(VLOOKUP(Tabla13[[#This Row],[Código Indra]],Tabla132[[Código INDRA]:[Nombre]],1,FALSE)),"NO", "SI")</f>
        <v>SI</v>
      </c>
      <c r="T24" s="465" t="s">
        <v>2005</v>
      </c>
      <c r="U24" s="464" t="s">
        <v>256</v>
      </c>
      <c r="V24" s="464" t="e">
        <f>VLOOKUP(Tabla13[[#This Row],[Apoyo]],'LM SAP'!A:I,9,FALSE)</f>
        <v>#N/A</v>
      </c>
      <c r="W24" s="464" t="s">
        <v>234</v>
      </c>
      <c r="X24" s="466">
        <v>32</v>
      </c>
      <c r="Y24" s="464">
        <f>Tabla13[[#This Row],[ID]]</f>
        <v>13</v>
      </c>
    </row>
    <row r="25" spans="1:25" s="464" customFormat="1" ht="36" x14ac:dyDescent="0.25">
      <c r="A25" s="453">
        <v>14</v>
      </c>
      <c r="B25" s="454" t="s">
        <v>1382</v>
      </c>
      <c r="C25" s="474" t="s">
        <v>1383</v>
      </c>
      <c r="D25" s="456" t="s">
        <v>134</v>
      </c>
      <c r="E25" s="457" t="s">
        <v>1384</v>
      </c>
      <c r="F25" s="458">
        <v>1</v>
      </c>
      <c r="G25" s="459"/>
      <c r="H25" s="460"/>
      <c r="I25" s="460" t="s">
        <v>276</v>
      </c>
      <c r="J25" s="460" t="s">
        <v>1318</v>
      </c>
      <c r="K25" s="460" t="s">
        <v>1411</v>
      </c>
      <c r="L25" s="460">
        <v>60005772</v>
      </c>
      <c r="M25" s="461">
        <v>45693</v>
      </c>
      <c r="N25" s="461">
        <v>45692</v>
      </c>
      <c r="O25" s="470" t="s">
        <v>2014</v>
      </c>
      <c r="P25" s="463" t="str">
        <f>IF(LEFT(B25,5)="09735",
    IF(ISNA(VLOOKUP(Tabla13[[#This Row],[Apoyo]],'LM SAP'!A:G,1,FALSE)),
        "No Disponible",
        IF(VLOOKUP(Tabla13[[#This Row],[Apoyo]],'LM SAP'!A:AD,9,FALSE)="RR",
            "Disponible",
            "Firmas SAP"
        )
    ),
    "CONSULTAR"
)</f>
        <v>No Disponible</v>
      </c>
      <c r="Q25" s="460" t="str">
        <f>MID(Tabla13[[#This Row],[Código Indra]],1,13)</f>
        <v>0973525070700</v>
      </c>
      <c r="R25" s="464" t="str">
        <f>IF(ISNA(VLOOKUP(Tabla13[[#This Row],[Código Indra]],#REF!,1,FALSE)),"NO", "SI")</f>
        <v>SI</v>
      </c>
      <c r="S25" s="460" t="str">
        <f>IF(ISNA(VLOOKUP(Tabla13[[#This Row],[Código Indra]],Tabla132[[Código INDRA]:[Nombre]],1,FALSE)),"NO", "SI")</f>
        <v>SI</v>
      </c>
      <c r="T25" s="465" t="s">
        <v>2005</v>
      </c>
      <c r="U25" s="464" t="s">
        <v>227</v>
      </c>
      <c r="V25" s="464" t="e">
        <f>VLOOKUP(Tabla13[[#This Row],[Apoyo]],'LM SAP'!A:I,9,FALSE)</f>
        <v>#N/A</v>
      </c>
      <c r="W25" s="464" t="s">
        <v>234</v>
      </c>
      <c r="X25" s="466"/>
      <c r="Y25" s="464">
        <f>Tabla13[[#This Row],[ID]]</f>
        <v>14</v>
      </c>
    </row>
    <row r="26" spans="1:25" s="464" customFormat="1" ht="48" x14ac:dyDescent="0.25">
      <c r="A26" s="453">
        <v>15</v>
      </c>
      <c r="B26" s="454" t="s">
        <v>278</v>
      </c>
      <c r="C26" s="469" t="s">
        <v>279</v>
      </c>
      <c r="D26" s="456" t="s">
        <v>134</v>
      </c>
      <c r="E26" s="457" t="s">
        <v>2015</v>
      </c>
      <c r="F26" s="458">
        <v>1</v>
      </c>
      <c r="G26" s="459"/>
      <c r="H26" s="460"/>
      <c r="I26" s="460" t="s">
        <v>276</v>
      </c>
      <c r="J26" s="460">
        <v>24360001</v>
      </c>
      <c r="K26" s="460" t="s">
        <v>1411</v>
      </c>
      <c r="L26" s="460">
        <v>60004277</v>
      </c>
      <c r="M26" s="461">
        <v>45546</v>
      </c>
      <c r="N26" s="461">
        <v>45561</v>
      </c>
      <c r="O26" s="470" t="s">
        <v>281</v>
      </c>
      <c r="P26" s="463" t="str">
        <f>IF(LEFT(B26,5)="09735",
    IF(ISNA(VLOOKUP(Tabla13[[#This Row],[Apoyo]],'LM SAP'!A:G,1,FALSE)),
        "No Disponible",
        IF(VLOOKUP(Tabla13[[#This Row],[Apoyo]],'LM SAP'!A:AD,9,FALSE)="RR",
            "Disponible",
            "Firmas SAP"
        )
    ),
    "CONSULTAR"
)</f>
        <v>Disponible</v>
      </c>
      <c r="Q26" s="460" t="str">
        <f>MID(Tabla13[[#This Row],[Código Indra]],1,13)</f>
        <v>0973525072400</v>
      </c>
      <c r="R26" s="464" t="str">
        <f>IF(ISNA(VLOOKUP(Tabla13[[#This Row],[Código Indra]],#REF!,1,FALSE)),"NO", "SI")</f>
        <v>SI</v>
      </c>
      <c r="S26" s="460" t="str">
        <f>IF(ISNA(VLOOKUP(Tabla13[[#This Row],[Código Indra]],Tabla132[[Código INDRA]:[Nombre]],1,FALSE)),"NO", "SI")</f>
        <v>SI</v>
      </c>
      <c r="T26" s="465" t="s">
        <v>2005</v>
      </c>
      <c r="U26" s="464" t="s">
        <v>256</v>
      </c>
      <c r="V26" s="464" t="str">
        <f>VLOOKUP(Tabla13[[#This Row],[Apoyo]],'LM SAP'!A:I,9,FALSE)</f>
        <v>RR</v>
      </c>
      <c r="W26" s="464" t="s">
        <v>234</v>
      </c>
      <c r="X26" s="466">
        <v>32</v>
      </c>
      <c r="Y26" s="464">
        <f>Tabla13[[#This Row],[ID]]</f>
        <v>15</v>
      </c>
    </row>
    <row r="27" spans="1:25" s="464" customFormat="1" ht="60" x14ac:dyDescent="0.25">
      <c r="A27" s="453">
        <v>16</v>
      </c>
      <c r="B27" s="454" t="s">
        <v>1385</v>
      </c>
      <c r="C27" s="469" t="s">
        <v>1386</v>
      </c>
      <c r="D27" s="456" t="s">
        <v>134</v>
      </c>
      <c r="E27" s="457" t="s">
        <v>1387</v>
      </c>
      <c r="F27" s="458">
        <v>1</v>
      </c>
      <c r="G27" s="459"/>
      <c r="H27" s="460"/>
      <c r="I27" s="460" t="s">
        <v>276</v>
      </c>
      <c r="J27" s="460" t="s">
        <v>1318</v>
      </c>
      <c r="K27" s="460" t="s">
        <v>1411</v>
      </c>
      <c r="L27" s="460">
        <v>60005319</v>
      </c>
      <c r="M27" s="461">
        <v>45637</v>
      </c>
      <c r="N27" s="461">
        <v>45666</v>
      </c>
      <c r="O27" s="470" t="s">
        <v>2016</v>
      </c>
      <c r="P27" s="463" t="str">
        <f>IF(LEFT(B27,5)="09735",
    IF(ISNA(VLOOKUP(Tabla13[[#This Row],[Apoyo]],'LM SAP'!A:G,1,FALSE)),
        "No Disponible",
        IF(VLOOKUP(Tabla13[[#This Row],[Apoyo]],'LM SAP'!A:AD,9,FALSE)="RR",
            "Disponible",
            "Firmas SAP"
        )
    ),
    "CONSULTAR"
)</f>
        <v>No Disponible</v>
      </c>
      <c r="Q27" s="460" t="str">
        <f>MID(Tabla13[[#This Row],[Código Indra]],1,13)</f>
        <v>0973525070800</v>
      </c>
      <c r="R27" s="464" t="str">
        <f>IF(ISNA(VLOOKUP(Tabla13[[#This Row],[Código Indra]],#REF!,1,FALSE)),"NO", "SI")</f>
        <v>SI</v>
      </c>
      <c r="S27" s="460" t="str">
        <f>IF(ISNA(VLOOKUP(Tabla13[[#This Row],[Código Indra]],Tabla132[[Código INDRA]:[Nombre]],1,FALSE)),"NO", "SI")</f>
        <v>SI</v>
      </c>
      <c r="T27" s="465" t="s">
        <v>2005</v>
      </c>
      <c r="U27" s="464" t="s">
        <v>227</v>
      </c>
      <c r="V27" s="464" t="e">
        <f>VLOOKUP(Tabla13[[#This Row],[Apoyo]],'LM SAP'!A:I,9,FALSE)</f>
        <v>#N/A</v>
      </c>
      <c r="W27" s="464" t="s">
        <v>234</v>
      </c>
      <c r="X27" s="466"/>
      <c r="Y27" s="464">
        <f>Tabla13[[#This Row],[ID]]</f>
        <v>16</v>
      </c>
    </row>
    <row r="28" spans="1:25" s="464" customFormat="1" ht="60" x14ac:dyDescent="0.25">
      <c r="A28" s="453">
        <v>17</v>
      </c>
      <c r="B28" s="454" t="s">
        <v>1055</v>
      </c>
      <c r="C28" s="469" t="s">
        <v>1056</v>
      </c>
      <c r="D28" s="456" t="s">
        <v>134</v>
      </c>
      <c r="E28" s="457" t="s">
        <v>2017</v>
      </c>
      <c r="F28" s="458">
        <v>1</v>
      </c>
      <c r="G28" s="459"/>
      <c r="H28" s="460"/>
      <c r="I28" s="460" t="s">
        <v>276</v>
      </c>
      <c r="J28" s="460" t="s">
        <v>1318</v>
      </c>
      <c r="K28" s="460" t="s">
        <v>1411</v>
      </c>
      <c r="L28" s="460">
        <v>60004868</v>
      </c>
      <c r="M28" s="461">
        <v>45607</v>
      </c>
      <c r="N28" s="461">
        <v>45611</v>
      </c>
      <c r="O28" s="470" t="s">
        <v>1058</v>
      </c>
      <c r="P28" s="463" t="str">
        <f>IF(LEFT(B28,5)="09735",
    IF(ISNA(VLOOKUP(Tabla13[[#This Row],[Apoyo]],'LM SAP'!A:G,1,FALSE)),
        "No Disponible",
        IF(VLOOKUP(Tabla13[[#This Row],[Apoyo]],'LM SAP'!A:AD,9,FALSE)="RR",
            "Disponible",
            "Firmas SAP"
        )
    ),
    "CONSULTAR"
)</f>
        <v>No Disponible</v>
      </c>
      <c r="Q28" s="460" t="str">
        <f>MID(Tabla13[[#This Row],[Código Indra]],1,13)</f>
        <v>0973525073300</v>
      </c>
      <c r="R28" s="464" t="str">
        <f>IF(ISNA(VLOOKUP(Tabla13[[#This Row],[Código Indra]],#REF!,1,FALSE)),"NO", "SI")</f>
        <v>SI</v>
      </c>
      <c r="S28" s="460" t="str">
        <f>IF(ISNA(VLOOKUP(Tabla13[[#This Row],[Código Indra]],Tabla132[[Código INDRA]:[Nombre]],1,FALSE)),"NO", "SI")</f>
        <v>NO</v>
      </c>
      <c r="T28" s="465" t="s">
        <v>2005</v>
      </c>
      <c r="U28" s="464" t="s">
        <v>256</v>
      </c>
      <c r="V28" s="464" t="e">
        <f>VLOOKUP(Tabla13[[#This Row],[Apoyo]],'LM SAP'!A:I,9,FALSE)</f>
        <v>#N/A</v>
      </c>
      <c r="X28" s="466"/>
      <c r="Y28" s="464">
        <f>Tabla13[[#This Row],[ID]]</f>
        <v>17</v>
      </c>
    </row>
    <row r="29" spans="1:25" s="464" customFormat="1" ht="48" x14ac:dyDescent="0.25">
      <c r="A29" s="453">
        <v>18</v>
      </c>
      <c r="B29" s="454" t="s">
        <v>282</v>
      </c>
      <c r="C29" s="469" t="s">
        <v>283</v>
      </c>
      <c r="D29" s="456" t="s">
        <v>134</v>
      </c>
      <c r="E29" s="457" t="s">
        <v>2018</v>
      </c>
      <c r="F29" s="458">
        <v>1</v>
      </c>
      <c r="G29" s="459"/>
      <c r="H29" s="460"/>
      <c r="I29" s="460" t="s">
        <v>276</v>
      </c>
      <c r="J29" s="460">
        <v>24370001</v>
      </c>
      <c r="K29" s="460" t="s">
        <v>1411</v>
      </c>
      <c r="L29" s="460">
        <v>60004398</v>
      </c>
      <c r="M29" s="461">
        <v>45552</v>
      </c>
      <c r="N29" s="461">
        <v>45561</v>
      </c>
      <c r="O29" s="470" t="s">
        <v>2019</v>
      </c>
      <c r="P29" s="463" t="str">
        <f>IF(LEFT(B29,5)="09735",
    IF(ISNA(VLOOKUP(Tabla13[[#This Row],[Apoyo]],'LM SAP'!A:G,1,FALSE)),
        "No Disponible",
        IF(VLOOKUP(Tabla13[[#This Row],[Apoyo]],'LM SAP'!A:AD,9,FALSE)="RR",
            "Disponible",
            "Firmas SAP"
        )
    ),
    "CONSULTAR"
)</f>
        <v>No Disponible</v>
      </c>
      <c r="Q29" s="460" t="str">
        <f>MID(Tabla13[[#This Row],[Código Indra]],1,13)</f>
        <v>0973525071300</v>
      </c>
      <c r="R29" s="464" t="str">
        <f>IF(ISNA(VLOOKUP(Tabla13[[#This Row],[Código Indra]],#REF!,1,FALSE)),"NO", "SI")</f>
        <v>SI</v>
      </c>
      <c r="S29" s="460" t="str">
        <f>IF(ISNA(VLOOKUP(Tabla13[[#This Row],[Código Indra]],Tabla132[[Código INDRA]:[Nombre]],1,FALSE)),"NO", "SI")</f>
        <v>SI</v>
      </c>
      <c r="T29" s="465" t="s">
        <v>2005</v>
      </c>
      <c r="U29" s="464" t="s">
        <v>256</v>
      </c>
      <c r="V29" s="464" t="e">
        <f>VLOOKUP(Tabla13[[#This Row],[Apoyo]],'LM SAP'!A:I,9,FALSE)</f>
        <v>#N/A</v>
      </c>
      <c r="W29" s="464" t="s">
        <v>234</v>
      </c>
      <c r="X29" s="466">
        <v>32</v>
      </c>
      <c r="Y29" s="464">
        <f>Tabla13[[#This Row],[ID]]</f>
        <v>18</v>
      </c>
    </row>
    <row r="30" spans="1:25" s="464" customFormat="1" ht="60" x14ac:dyDescent="0.25">
      <c r="A30" s="453">
        <v>19</v>
      </c>
      <c r="B30" s="471" t="s">
        <v>130</v>
      </c>
      <c r="C30" s="455" t="s">
        <v>131</v>
      </c>
      <c r="D30" s="456" t="s">
        <v>98</v>
      </c>
      <c r="E30" s="457" t="s">
        <v>1388</v>
      </c>
      <c r="F30" s="458">
        <v>1</v>
      </c>
      <c r="G30" s="459" t="s">
        <v>260</v>
      </c>
      <c r="H30" s="460" t="s">
        <v>2000</v>
      </c>
      <c r="I30" s="460" t="s">
        <v>276</v>
      </c>
      <c r="J30" s="460" t="s">
        <v>1318</v>
      </c>
      <c r="K30" s="460" t="s">
        <v>220</v>
      </c>
      <c r="L30" s="460">
        <v>60005419</v>
      </c>
      <c r="M30" s="461">
        <v>45644</v>
      </c>
      <c r="N30" s="461">
        <v>45671</v>
      </c>
      <c r="O30" s="475" t="s">
        <v>2020</v>
      </c>
      <c r="P30" s="463" t="str">
        <f>IF(LEFT(B30,5)="09735",
    IF(ISNA(VLOOKUP(Tabla13[[#This Row],[Apoyo]],'LM SAP'!A:G,1,FALSE)),
        "No Disponible",
        IF(VLOOKUP(Tabla13[[#This Row],[Apoyo]],'LM SAP'!A:AD,9,FALSE)="RR",
            "Disponible",
            "Firmas SAP"
        )
    ),
    "CONSULTAR"
)</f>
        <v>No Disponible</v>
      </c>
      <c r="Q30" s="460" t="str">
        <f>MID(Tabla13[[#This Row],[Código Indra]],1,13)</f>
        <v>0973525090000</v>
      </c>
      <c r="R30" s="464" t="str">
        <f>IF(ISNA(VLOOKUP(Tabla13[[#This Row],[Código Indra]],#REF!,1,FALSE)),"NO", "SI")</f>
        <v>SI</v>
      </c>
      <c r="S30" s="460" t="str">
        <f>IF(ISNA(VLOOKUP(Tabla13[[#This Row],[Código Indra]],Tabla132[[Código INDRA]:[Nombre]],1,FALSE)),"NO", "SI")</f>
        <v>SI</v>
      </c>
      <c r="T30" s="465"/>
      <c r="U30" s="464" t="s">
        <v>227</v>
      </c>
      <c r="V30" s="464" t="e">
        <f>VLOOKUP(Tabla13[[#This Row],[Apoyo]],'LM SAP'!A:I,9,FALSE)</f>
        <v>#N/A</v>
      </c>
      <c r="W30" s="464" t="s">
        <v>234</v>
      </c>
      <c r="X30" s="466"/>
      <c r="Y30" s="464">
        <f>Tabla13[[#This Row],[ID]]</f>
        <v>19</v>
      </c>
    </row>
    <row r="31" spans="1:25" s="464" customFormat="1" ht="36" x14ac:dyDescent="0.25">
      <c r="A31" s="453">
        <v>20</v>
      </c>
      <c r="B31" s="454" t="s">
        <v>286</v>
      </c>
      <c r="C31" s="469" t="s">
        <v>287</v>
      </c>
      <c r="D31" s="456" t="s">
        <v>131</v>
      </c>
      <c r="E31" s="457" t="s">
        <v>2021</v>
      </c>
      <c r="F31" s="458">
        <v>1</v>
      </c>
      <c r="G31" s="459"/>
      <c r="H31" s="460"/>
      <c r="I31" s="460" t="s">
        <v>276</v>
      </c>
      <c r="J31" s="460">
        <v>24360001</v>
      </c>
      <c r="K31" s="460" t="s">
        <v>1411</v>
      </c>
      <c r="L31" s="460">
        <v>60004278</v>
      </c>
      <c r="M31" s="461">
        <v>45546</v>
      </c>
      <c r="N31" s="461">
        <v>45558</v>
      </c>
      <c r="O31" s="470" t="s">
        <v>267</v>
      </c>
      <c r="P31" s="463" t="str">
        <f>IF(LEFT(B31,5)="09735",
    IF(ISNA(VLOOKUP(Tabla13[[#This Row],[Apoyo]],'LM SAP'!A:G,1,FALSE)),
        "No Disponible",
        IF(VLOOKUP(Tabla13[[#This Row],[Apoyo]],'LM SAP'!A:AD,9,FALSE)="RR",
            "Disponible",
            "Firmas SAP"
        )
    ),
    "CONSULTAR"
)</f>
        <v>No Disponible</v>
      </c>
      <c r="Q31" s="460" t="str">
        <f>MID(Tabla13[[#This Row],[Código Indra]],1,13)</f>
        <v>0973525091300</v>
      </c>
      <c r="R31" s="464" t="str">
        <f>IF(ISNA(VLOOKUP(Tabla13[[#This Row],[Código Indra]],#REF!,1,FALSE)),"NO", "SI")</f>
        <v>SI</v>
      </c>
      <c r="S31" s="460" t="str">
        <f>IF(ISNA(VLOOKUP(Tabla13[[#This Row],[Código Indra]],Tabla132[[Código INDRA]:[Nombre]],1,FALSE)),"NO", "SI")</f>
        <v>SI</v>
      </c>
      <c r="T31" s="465" t="s">
        <v>2005</v>
      </c>
      <c r="U31" s="464" t="s">
        <v>256</v>
      </c>
      <c r="V31" s="464" t="e">
        <f>VLOOKUP(Tabla13[[#This Row],[Apoyo]],'LM SAP'!A:I,9,FALSE)</f>
        <v>#N/A</v>
      </c>
      <c r="W31" s="464" t="s">
        <v>234</v>
      </c>
      <c r="X31" s="466">
        <v>8</v>
      </c>
      <c r="Y31" s="464">
        <f>Tabla13[[#This Row],[ID]]</f>
        <v>20</v>
      </c>
    </row>
    <row r="32" spans="1:25" s="464" customFormat="1" ht="60" x14ac:dyDescent="0.25">
      <c r="A32" s="453">
        <v>21</v>
      </c>
      <c r="B32" s="454" t="s">
        <v>290</v>
      </c>
      <c r="C32" s="469" t="s">
        <v>291</v>
      </c>
      <c r="D32" s="456" t="s">
        <v>131</v>
      </c>
      <c r="E32" s="457" t="s">
        <v>2022</v>
      </c>
      <c r="F32" s="458">
        <v>1</v>
      </c>
      <c r="G32" s="459"/>
      <c r="H32" s="460"/>
      <c r="I32" s="460" t="s">
        <v>276</v>
      </c>
      <c r="J32" s="460">
        <v>24370001</v>
      </c>
      <c r="K32" s="460" t="s">
        <v>1411</v>
      </c>
      <c r="L32" s="460">
        <v>60004388</v>
      </c>
      <c r="M32" s="461">
        <v>45551</v>
      </c>
      <c r="N32" s="461">
        <v>45561</v>
      </c>
      <c r="O32" s="470" t="s">
        <v>2023</v>
      </c>
      <c r="P32" s="463" t="str">
        <f>IF(LEFT(B32,5)="09735",
    IF(ISNA(VLOOKUP(Tabla13[[#This Row],[Apoyo]],'LM SAP'!A:G,1,FALSE)),
        "No Disponible",
        IF(VLOOKUP(Tabla13[[#This Row],[Apoyo]],'LM SAP'!A:AD,9,FALSE)="RR",
            "Disponible",
            "Firmas SAP"
        )
    ),
    "CONSULTAR"
)</f>
        <v>No Disponible</v>
      </c>
      <c r="Q32" s="460" t="str">
        <f>MID(Tabla13[[#This Row],[Código Indra]],1,13)</f>
        <v>0973525091400</v>
      </c>
      <c r="R32" s="464" t="str">
        <f>IF(ISNA(VLOOKUP(Tabla13[[#This Row],[Código Indra]],#REF!,1,FALSE)),"NO", "SI")</f>
        <v>SI</v>
      </c>
      <c r="S32" s="460" t="str">
        <f>IF(ISNA(VLOOKUP(Tabla13[[#This Row],[Código Indra]],Tabla132[[Código INDRA]:[Nombre]],1,FALSE)),"NO", "SI")</f>
        <v>SI</v>
      </c>
      <c r="T32" s="465" t="s">
        <v>2005</v>
      </c>
      <c r="U32" s="464" t="s">
        <v>256</v>
      </c>
      <c r="V32" s="464" t="e">
        <f>VLOOKUP(Tabla13[[#This Row],[Apoyo]],'LM SAP'!A:I,9,FALSE)</f>
        <v>#N/A</v>
      </c>
      <c r="W32" s="464" t="s">
        <v>234</v>
      </c>
      <c r="X32" s="466">
        <v>8</v>
      </c>
      <c r="Y32" s="464">
        <f>Tabla13[[#This Row],[ID]]</f>
        <v>21</v>
      </c>
    </row>
    <row r="33" spans="1:25" s="464" customFormat="1" ht="48" x14ac:dyDescent="0.25">
      <c r="A33" s="453">
        <v>22</v>
      </c>
      <c r="B33" s="454" t="s">
        <v>294</v>
      </c>
      <c r="C33" s="469" t="s">
        <v>295</v>
      </c>
      <c r="D33" s="456" t="s">
        <v>131</v>
      </c>
      <c r="E33" s="457" t="s">
        <v>2024</v>
      </c>
      <c r="F33" s="458">
        <v>1</v>
      </c>
      <c r="G33" s="459"/>
      <c r="H33" s="460"/>
      <c r="I33" s="460" t="s">
        <v>276</v>
      </c>
      <c r="J33" s="460">
        <v>24360001</v>
      </c>
      <c r="K33" s="460" t="s">
        <v>1411</v>
      </c>
      <c r="L33" s="460">
        <v>60004279</v>
      </c>
      <c r="M33" s="461">
        <v>45546</v>
      </c>
      <c r="N33" s="461">
        <v>45567</v>
      </c>
      <c r="O33" s="470" t="s">
        <v>281</v>
      </c>
      <c r="P33" s="463" t="str">
        <f>IF(LEFT(B33,5)="09735",
    IF(ISNA(VLOOKUP(Tabla13[[#This Row],[Apoyo]],'LM SAP'!A:G,1,FALSE)),
        "No Disponible",
        IF(VLOOKUP(Tabla13[[#This Row],[Apoyo]],'LM SAP'!A:AD,9,FALSE)="RR",
            "Disponible",
            "Firmas SAP"
        )
    ),
    "CONSULTAR"
)</f>
        <v>Disponible</v>
      </c>
      <c r="Q33" s="460" t="str">
        <f>MID(Tabla13[[#This Row],[Código Indra]],1,13)</f>
        <v>0973525091800</v>
      </c>
      <c r="R33" s="464" t="str">
        <f>IF(ISNA(VLOOKUP(Tabla13[[#This Row],[Código Indra]],#REF!,1,FALSE)),"NO", "SI")</f>
        <v>SI</v>
      </c>
      <c r="S33" s="460" t="str">
        <f>IF(ISNA(VLOOKUP(Tabla13[[#This Row],[Código Indra]],Tabla132[[Código INDRA]:[Nombre]],1,FALSE)),"NO", "SI")</f>
        <v>SI</v>
      </c>
      <c r="T33" s="465" t="s">
        <v>2005</v>
      </c>
      <c r="U33" s="464" t="s">
        <v>256</v>
      </c>
      <c r="V33" s="464" t="str">
        <f>VLOOKUP(Tabla13[[#This Row],[Apoyo]],'LM SAP'!A:I,9,FALSE)</f>
        <v>RR</v>
      </c>
      <c r="X33" s="466">
        <v>8</v>
      </c>
      <c r="Y33" s="464">
        <f>Tabla13[[#This Row],[ID]]</f>
        <v>22</v>
      </c>
    </row>
    <row r="34" spans="1:25" s="464" customFormat="1" ht="48" x14ac:dyDescent="0.25">
      <c r="A34" s="453">
        <v>23</v>
      </c>
      <c r="B34" s="454" t="s">
        <v>297</v>
      </c>
      <c r="C34" s="469" t="s">
        <v>298</v>
      </c>
      <c r="D34" s="456" t="s">
        <v>131</v>
      </c>
      <c r="E34" s="457" t="s">
        <v>2025</v>
      </c>
      <c r="F34" s="458">
        <v>1</v>
      </c>
      <c r="G34" s="459"/>
      <c r="H34" s="460"/>
      <c r="I34" s="460" t="s">
        <v>276</v>
      </c>
      <c r="J34" s="460">
        <v>24360001</v>
      </c>
      <c r="K34" s="460" t="s">
        <v>1411</v>
      </c>
      <c r="L34" s="460">
        <v>60004380</v>
      </c>
      <c r="M34" s="461">
        <v>45546</v>
      </c>
      <c r="N34" s="461">
        <v>45561</v>
      </c>
      <c r="O34" s="470" t="s">
        <v>300</v>
      </c>
      <c r="P34" s="463" t="str">
        <f>IF(LEFT(B34,5)="09735",
    IF(ISNA(VLOOKUP(Tabla13[[#This Row],[Apoyo]],'LM SAP'!A:G,1,FALSE)),
        "No Disponible",
        IF(VLOOKUP(Tabla13[[#This Row],[Apoyo]],'LM SAP'!A:AD,9,FALSE)="RR",
            "Disponible",
            "Firmas SAP"
        )
    ),
    "CONSULTAR"
)</f>
        <v>Disponible</v>
      </c>
      <c r="Q34" s="460" t="str">
        <f>MID(Tabla13[[#This Row],[Código Indra]],1,13)</f>
        <v>0973525092100</v>
      </c>
      <c r="R34" s="464" t="str">
        <f>IF(ISNA(VLOOKUP(Tabla13[[#This Row],[Código Indra]],#REF!,1,FALSE)),"NO", "SI")</f>
        <v>SI</v>
      </c>
      <c r="S34" s="460" t="str">
        <f>IF(ISNA(VLOOKUP(Tabla13[[#This Row],[Código Indra]],Tabla132[[Código INDRA]:[Nombre]],1,FALSE)),"NO", "SI")</f>
        <v>SI</v>
      </c>
      <c r="T34" s="465" t="s">
        <v>2005</v>
      </c>
      <c r="U34" s="464" t="s">
        <v>256</v>
      </c>
      <c r="V34" s="464" t="str">
        <f>VLOOKUP(Tabla13[[#This Row],[Apoyo]],'LM SAP'!A:I,9,FALSE)</f>
        <v>RR</v>
      </c>
      <c r="W34" s="464" t="s">
        <v>234</v>
      </c>
      <c r="X34" s="466">
        <v>32</v>
      </c>
      <c r="Y34" s="464">
        <f>Tabla13[[#This Row],[ID]]</f>
        <v>23</v>
      </c>
    </row>
    <row r="35" spans="1:25" s="464" customFormat="1" ht="48" x14ac:dyDescent="0.25">
      <c r="A35" s="453">
        <v>24</v>
      </c>
      <c r="B35" s="454" t="s">
        <v>301</v>
      </c>
      <c r="C35" s="469" t="s">
        <v>302</v>
      </c>
      <c r="D35" s="456" t="s">
        <v>131</v>
      </c>
      <c r="E35" s="457" t="s">
        <v>2026</v>
      </c>
      <c r="F35" s="458">
        <v>1</v>
      </c>
      <c r="G35" s="459"/>
      <c r="H35" s="460"/>
      <c r="I35" s="460" t="s">
        <v>276</v>
      </c>
      <c r="J35" s="460">
        <v>24360001</v>
      </c>
      <c r="K35" s="460" t="s">
        <v>1411</v>
      </c>
      <c r="L35" s="460">
        <v>60004381</v>
      </c>
      <c r="M35" s="461">
        <v>45546</v>
      </c>
      <c r="N35" s="461">
        <v>45561</v>
      </c>
      <c r="O35" s="470" t="s">
        <v>2027</v>
      </c>
      <c r="P35" s="463" t="str">
        <f>IF(LEFT(B35,5)="09735",
    IF(ISNA(VLOOKUP(Tabla13[[#This Row],[Apoyo]],'LM SAP'!A:G,1,FALSE)),
        "No Disponible",
        IF(VLOOKUP(Tabla13[[#This Row],[Apoyo]],'LM SAP'!A:AD,9,FALSE)="RR",
            "Disponible",
            "Firmas SAP"
        )
    ),
    "CONSULTAR"
)</f>
        <v>No Disponible</v>
      </c>
      <c r="Q35" s="460" t="str">
        <f>MID(Tabla13[[#This Row],[Código Indra]],1,13)</f>
        <v>0973525092300</v>
      </c>
      <c r="R35" s="460" t="str">
        <f>IF(ISNA(VLOOKUP(Tabla13[[#This Row],[Código Indra]],#REF!,1,FALSE)),"NO", "SI")</f>
        <v>SI</v>
      </c>
      <c r="S35" s="460" t="str">
        <f>IF(ISNA(VLOOKUP(Tabla13[[#This Row],[Código Indra]],Tabla132[[Código INDRA]:[Nombre]],1,FALSE)),"NO", "SI")</f>
        <v>SI</v>
      </c>
      <c r="T35" s="465" t="s">
        <v>2005</v>
      </c>
      <c r="U35" s="464" t="s">
        <v>256</v>
      </c>
      <c r="V35" s="464" t="e">
        <f>VLOOKUP(Tabla13[[#This Row],[Apoyo]],'LM SAP'!A:I,9,FALSE)</f>
        <v>#N/A</v>
      </c>
      <c r="W35" s="464" t="s">
        <v>234</v>
      </c>
      <c r="X35" s="466">
        <v>32</v>
      </c>
      <c r="Y35" s="464">
        <f>Tabla13[[#This Row],[ID]]</f>
        <v>24</v>
      </c>
    </row>
    <row r="36" spans="1:25" s="464" customFormat="1" ht="48" x14ac:dyDescent="0.25">
      <c r="A36" s="453">
        <v>25</v>
      </c>
      <c r="B36" s="454" t="s">
        <v>305</v>
      </c>
      <c r="C36" s="469" t="s">
        <v>306</v>
      </c>
      <c r="D36" s="456" t="s">
        <v>131</v>
      </c>
      <c r="E36" s="457" t="s">
        <v>2028</v>
      </c>
      <c r="F36" s="458">
        <v>1</v>
      </c>
      <c r="G36" s="459"/>
      <c r="H36" s="460"/>
      <c r="I36" s="460" t="s">
        <v>276</v>
      </c>
      <c r="J36" s="460">
        <v>24360001</v>
      </c>
      <c r="K36" s="460" t="s">
        <v>1411</v>
      </c>
      <c r="L36" s="460">
        <v>60004382</v>
      </c>
      <c r="M36" s="461">
        <v>45546</v>
      </c>
      <c r="N36" s="461">
        <v>45567</v>
      </c>
      <c r="O36" s="470" t="s">
        <v>2029</v>
      </c>
      <c r="P36" s="463" t="str">
        <f>IF(LEFT(B36,5)="09735",
    IF(ISNA(VLOOKUP(Tabla13[[#This Row],[Apoyo]],'LM SAP'!A:G,1,FALSE)),
        "No Disponible",
        IF(VLOOKUP(Tabla13[[#This Row],[Apoyo]],'LM SAP'!A:AD,9,FALSE)="RR",
            "Disponible",
            "Firmas SAP"
        )
    ),
    "CONSULTAR"
)</f>
        <v>No Disponible</v>
      </c>
      <c r="Q36" s="460" t="str">
        <f>MID(Tabla13[[#This Row],[Código Indra]],1,13)</f>
        <v>0973525092400</v>
      </c>
      <c r="R36" s="464" t="str">
        <f>IF(ISNA(VLOOKUP(Tabla13[[#This Row],[Código Indra]],#REF!,1,FALSE)),"NO", "SI")</f>
        <v>SI</v>
      </c>
      <c r="S36" s="460" t="str">
        <f>IF(ISNA(VLOOKUP(Tabla13[[#This Row],[Código Indra]],Tabla132[[Código INDRA]:[Nombre]],1,FALSE)),"NO", "SI")</f>
        <v>SI</v>
      </c>
      <c r="T36" s="465" t="s">
        <v>2005</v>
      </c>
      <c r="U36" s="464" t="s">
        <v>256</v>
      </c>
      <c r="V36" s="464" t="e">
        <f>VLOOKUP(Tabla13[[#This Row],[Apoyo]],'LM SAP'!A:I,9,FALSE)</f>
        <v>#N/A</v>
      </c>
      <c r="W36" s="464" t="s">
        <v>234</v>
      </c>
      <c r="X36" s="466">
        <v>32</v>
      </c>
      <c r="Y36" s="464">
        <f>Tabla13[[#This Row],[ID]]</f>
        <v>25</v>
      </c>
    </row>
    <row r="37" spans="1:25" s="464" customFormat="1" ht="48" x14ac:dyDescent="0.25">
      <c r="A37" s="453">
        <v>26</v>
      </c>
      <c r="B37" s="454" t="s">
        <v>1438</v>
      </c>
      <c r="C37" s="469" t="s">
        <v>1439</v>
      </c>
      <c r="D37" s="456" t="s">
        <v>131</v>
      </c>
      <c r="E37" s="457" t="s">
        <v>700</v>
      </c>
      <c r="F37" s="458">
        <v>1</v>
      </c>
      <c r="G37" s="459"/>
      <c r="H37" s="460"/>
      <c r="I37" s="460" t="s">
        <v>650</v>
      </c>
      <c r="J37" s="460"/>
      <c r="K37" s="460" t="s">
        <v>1411</v>
      </c>
      <c r="L37" s="460">
        <v>60006601</v>
      </c>
      <c r="M37" s="461">
        <v>45768</v>
      </c>
      <c r="N37" s="461">
        <v>45768</v>
      </c>
      <c r="O37" s="615" t="s">
        <v>2030</v>
      </c>
      <c r="P37" s="463" t="str">
        <f>IF(LEFT(B37,5)="09735",
    IF(ISNA(VLOOKUP(Tabla13[[#This Row],[Apoyo]],'LM SAP'!A:G,1,FALSE)),
        "No Disponible",
        IF(VLOOKUP(Tabla13[[#This Row],[Apoyo]],'LM SAP'!A:AD,9,FALSE)="RR",
            "Disponible",
            "Firmas SAP"
        )
    ),
    "CONSULTAR"
)</f>
        <v>CONSULTAR</v>
      </c>
      <c r="Q37" s="460" t="str">
        <f>MID(Tabla13[[#This Row],[Código Indra]],1,13)</f>
        <v>0971725082600</v>
      </c>
      <c r="R37" s="464" t="str">
        <f>IF(ISNA(VLOOKUP(Tabla13[[#This Row],[Código Indra]],#REF!,1,FALSE)),"NO", "SI")</f>
        <v>SI</v>
      </c>
      <c r="S37" s="460" t="str">
        <f>IF(ISNA(VLOOKUP(Tabla13[[#This Row],[Código Indra]],Tabla132[[Código INDRA]:[Nombre]],1,FALSE)),"NO", "SI")</f>
        <v>SI</v>
      </c>
      <c r="T37" s="465"/>
      <c r="U37" s="464" t="s">
        <v>256</v>
      </c>
      <c r="V37" s="464" t="e">
        <f>VLOOKUP(Tabla13[[#This Row],[Apoyo]],'LM SAP'!A:I,9,FALSE)</f>
        <v>#N/A</v>
      </c>
      <c r="X37" s="466"/>
      <c r="Y37" s="464">
        <f>Tabla13[[#This Row],[ID]]</f>
        <v>26</v>
      </c>
    </row>
    <row r="38" spans="1:25" s="464" customFormat="1" ht="24" x14ac:dyDescent="0.25">
      <c r="A38" s="453">
        <v>27</v>
      </c>
      <c r="B38" s="471" t="s">
        <v>136</v>
      </c>
      <c r="C38" s="455" t="s">
        <v>137</v>
      </c>
      <c r="D38" s="456" t="s">
        <v>98</v>
      </c>
      <c r="E38" s="457" t="s">
        <v>2031</v>
      </c>
      <c r="F38" s="458">
        <v>1</v>
      </c>
      <c r="G38" s="459" t="s">
        <v>260</v>
      </c>
      <c r="H38" s="460"/>
      <c r="I38" s="460" t="s">
        <v>276</v>
      </c>
      <c r="J38" s="460" t="s">
        <v>1318</v>
      </c>
      <c r="K38" s="460" t="s">
        <v>1411</v>
      </c>
      <c r="L38" s="460">
        <v>60005424</v>
      </c>
      <c r="M38" s="461">
        <v>45643</v>
      </c>
      <c r="N38" s="461">
        <v>45671</v>
      </c>
      <c r="O38" s="470" t="s">
        <v>2032</v>
      </c>
      <c r="P38" s="463" t="str">
        <f>IF(LEFT(B38,5)="09735",
    IF(ISNA(VLOOKUP(Tabla13[[#This Row],[Apoyo]],'LM SAP'!A:G,1,FALSE)),
        "No Disponible",
        IF(VLOOKUP(Tabla13[[#This Row],[Apoyo]],'LM SAP'!A:AD,9,FALSE)="RR",
            "Disponible",
            "Firmas SAP"
        )
    ),
    "CONSULTAR"
)</f>
        <v>No Disponible</v>
      </c>
      <c r="Q38" s="460" t="str">
        <f>MID(Tabla13[[#This Row],[Código Indra]],1,13)</f>
        <v>0973525100000</v>
      </c>
      <c r="R38" s="464" t="str">
        <f>IF(ISNA(VLOOKUP(Tabla13[[#This Row],[Código Indra]],#REF!,1,FALSE)),"NO", "SI")</f>
        <v>SI</v>
      </c>
      <c r="S38" s="460" t="str">
        <f>IF(ISNA(VLOOKUP(Tabla13[[#This Row],[Código Indra]],Tabla132[[Código INDRA]:[Nombre]],1,FALSE)),"NO", "SI")</f>
        <v>NO</v>
      </c>
      <c r="T38" s="465" t="s">
        <v>2005</v>
      </c>
      <c r="U38" s="464" t="s">
        <v>227</v>
      </c>
      <c r="V38" s="464" t="e">
        <f>VLOOKUP(Tabla13[[#This Row],[Apoyo]],'LM SAP'!A:I,9,FALSE)</f>
        <v>#N/A</v>
      </c>
      <c r="W38" s="464" t="s">
        <v>234</v>
      </c>
      <c r="X38" s="466"/>
      <c r="Y38" s="464">
        <f>Tabla13[[#This Row],[ID]]</f>
        <v>27</v>
      </c>
    </row>
    <row r="39" spans="1:25" s="464" customFormat="1" ht="48" x14ac:dyDescent="0.25">
      <c r="A39" s="453">
        <v>28</v>
      </c>
      <c r="B39" s="454" t="s">
        <v>309</v>
      </c>
      <c r="C39" s="469" t="s">
        <v>310</v>
      </c>
      <c r="D39" s="456" t="s">
        <v>137</v>
      </c>
      <c r="E39" s="457" t="s">
        <v>2033</v>
      </c>
      <c r="F39" s="458">
        <v>1</v>
      </c>
      <c r="G39" s="459"/>
      <c r="H39" s="460"/>
      <c r="I39" s="460" t="s">
        <v>276</v>
      </c>
      <c r="J39" s="460">
        <v>24360001</v>
      </c>
      <c r="K39" s="460" t="s">
        <v>1411</v>
      </c>
      <c r="L39" s="460">
        <v>60004383</v>
      </c>
      <c r="M39" s="461">
        <v>45546</v>
      </c>
      <c r="N39" s="461">
        <v>45575</v>
      </c>
      <c r="O39" s="470" t="s">
        <v>2034</v>
      </c>
      <c r="P39" s="463" t="str">
        <f>IF(LEFT(B39,5)="09735",
    IF(ISNA(VLOOKUP(Tabla13[[#This Row],[Apoyo]],'LM SAP'!A:G,1,FALSE)),
        "No Disponible",
        IF(VLOOKUP(Tabla13[[#This Row],[Apoyo]],'LM SAP'!A:AD,9,FALSE)="RR",
            "Disponible",
            "Firmas SAP"
        )
    ),
    "CONSULTAR"
)</f>
        <v>No Disponible</v>
      </c>
      <c r="Q39" s="460" t="str">
        <f>MID(Tabla13[[#This Row],[Código Indra]],1,13)</f>
        <v>0973525100100</v>
      </c>
      <c r="R39" s="464" t="str">
        <f>IF(ISNA(VLOOKUP(Tabla13[[#This Row],[Código Indra]],#REF!,1,FALSE)),"NO", "SI")</f>
        <v>SI</v>
      </c>
      <c r="S39" s="460" t="str">
        <f>IF(ISNA(VLOOKUP(Tabla13[[#This Row],[Código Indra]],Tabla132[[Código INDRA]:[Nombre]],1,FALSE)),"NO", "SI")</f>
        <v>SI</v>
      </c>
      <c r="T39" s="465" t="s">
        <v>2005</v>
      </c>
      <c r="U39" s="464" t="s">
        <v>256</v>
      </c>
      <c r="V39" s="464" t="e">
        <f>VLOOKUP(Tabla13[[#This Row],[Apoyo]],'LM SAP'!A:I,9,FALSE)</f>
        <v>#N/A</v>
      </c>
      <c r="W39" s="464" t="s">
        <v>234</v>
      </c>
      <c r="X39" s="466">
        <v>32</v>
      </c>
      <c r="Y39" s="464">
        <f>Tabla13[[#This Row],[ID]]</f>
        <v>28</v>
      </c>
    </row>
    <row r="40" spans="1:25" s="464" customFormat="1" ht="48" x14ac:dyDescent="0.25">
      <c r="A40" s="453">
        <v>29</v>
      </c>
      <c r="B40" s="454" t="s">
        <v>313</v>
      </c>
      <c r="C40" s="469" t="s">
        <v>314</v>
      </c>
      <c r="D40" s="456" t="s">
        <v>137</v>
      </c>
      <c r="E40" s="457" t="s">
        <v>2035</v>
      </c>
      <c r="F40" s="458">
        <v>1</v>
      </c>
      <c r="G40" s="459"/>
      <c r="H40" s="460"/>
      <c r="I40" s="460" t="s">
        <v>276</v>
      </c>
      <c r="J40" s="460">
        <v>24360001</v>
      </c>
      <c r="K40" s="460" t="s">
        <v>1411</v>
      </c>
      <c r="L40" s="460">
        <v>60004384</v>
      </c>
      <c r="M40" s="461">
        <v>45546</v>
      </c>
      <c r="N40" s="461">
        <v>45575</v>
      </c>
      <c r="O40" s="476" t="s">
        <v>2036</v>
      </c>
      <c r="P40" s="463" t="str">
        <f>IF(LEFT(B40,5)="09735",
    IF(ISNA(VLOOKUP(Tabla13[[#This Row],[Apoyo]],'LM SAP'!A:G,1,FALSE)),
        "No Disponible",
        IF(VLOOKUP(Tabla13[[#This Row],[Apoyo]],'LM SAP'!A:AD,9,FALSE)="RR",
            "Disponible",
            "Firmas SAP"
        )
    ),
    "CONSULTAR"
)</f>
        <v>No Disponible</v>
      </c>
      <c r="Q40" s="460" t="str">
        <f>MID(Tabla13[[#This Row],[Código Indra]],1,13)</f>
        <v>0973525100200</v>
      </c>
      <c r="R40" s="464" t="str">
        <f>IF(ISNA(VLOOKUP(Tabla13[[#This Row],[Código Indra]],#REF!,1,FALSE)),"NO", "SI")</f>
        <v>SI</v>
      </c>
      <c r="S40" s="460" t="str">
        <f>IF(ISNA(VLOOKUP(Tabla13[[#This Row],[Código Indra]],Tabla132[[Código INDRA]:[Nombre]],1,FALSE)),"NO", "SI")</f>
        <v>SI</v>
      </c>
      <c r="T40" s="465" t="s">
        <v>2005</v>
      </c>
      <c r="U40" s="464" t="s">
        <v>256</v>
      </c>
      <c r="V40" s="464" t="e">
        <f>VLOOKUP(Tabla13[[#This Row],[Apoyo]],'LM SAP'!A:I,9,FALSE)</f>
        <v>#N/A</v>
      </c>
      <c r="W40" s="464" t="s">
        <v>234</v>
      </c>
      <c r="X40" s="466">
        <v>32</v>
      </c>
      <c r="Y40" s="464">
        <f>Tabla13[[#This Row],[ID]]</f>
        <v>29</v>
      </c>
    </row>
    <row r="41" spans="1:25" s="464" customFormat="1" ht="36" x14ac:dyDescent="0.25">
      <c r="A41" s="453">
        <v>30</v>
      </c>
      <c r="B41" s="454" t="s">
        <v>138</v>
      </c>
      <c r="C41" s="455" t="s">
        <v>139</v>
      </c>
      <c r="D41" s="456" t="s">
        <v>98</v>
      </c>
      <c r="E41" s="457" t="s">
        <v>1389</v>
      </c>
      <c r="F41" s="458">
        <v>1</v>
      </c>
      <c r="G41" s="459"/>
      <c r="H41" s="460" t="s">
        <v>2000</v>
      </c>
      <c r="I41" s="460" t="s">
        <v>2011</v>
      </c>
      <c r="J41" s="460" t="s">
        <v>1318</v>
      </c>
      <c r="K41" s="460" t="s">
        <v>1411</v>
      </c>
      <c r="L41" s="460">
        <v>60005372</v>
      </c>
      <c r="M41" s="461">
        <v>45638</v>
      </c>
      <c r="N41" s="461">
        <v>45671</v>
      </c>
      <c r="O41" s="467" t="s">
        <v>2001</v>
      </c>
      <c r="P41" s="463" t="str">
        <f>IF(LEFT(B41,5)="09735",
    IF(ISNA(VLOOKUP(Tabla13[[#This Row],[Apoyo]],'LM SAP'!A:G,1,FALSE)),
        "No Disponible",
        IF(VLOOKUP(Tabla13[[#This Row],[Apoyo]],'LM SAP'!A:AD,9,FALSE)="RR",
            "Disponible",
            "Firmas SAP"
        )
    ),
    "CONSULTAR"
)</f>
        <v>No Disponible</v>
      </c>
      <c r="Q41" s="460" t="str">
        <f>MID(Tabla13[[#This Row],[Código Indra]],1,13)</f>
        <v>0973525110000</v>
      </c>
      <c r="R41" s="464" t="str">
        <f>IF(ISNA(VLOOKUP(Tabla13[[#This Row],[Código Indra]],#REF!,1,FALSE)),"NO", "SI")</f>
        <v>SI</v>
      </c>
      <c r="S41" s="460" t="str">
        <f>IF(ISNA(VLOOKUP(Tabla13[[#This Row],[Código Indra]],Tabla132[[Código INDRA]:[Nombre]],1,FALSE)),"NO", "SI")</f>
        <v>SI</v>
      </c>
      <c r="T41" s="465"/>
      <c r="U41" s="464" t="s">
        <v>227</v>
      </c>
      <c r="V41" s="464" t="e">
        <f>VLOOKUP(Tabla13[[#This Row],[Apoyo]],'LM SAP'!A:I,9,FALSE)</f>
        <v>#N/A</v>
      </c>
      <c r="W41" s="464" t="s">
        <v>234</v>
      </c>
      <c r="X41" s="466"/>
      <c r="Y41" s="464">
        <f>Tabla13[[#This Row],[ID]]</f>
        <v>30</v>
      </c>
    </row>
    <row r="42" spans="1:25" s="464" customFormat="1" ht="204" x14ac:dyDescent="0.25">
      <c r="A42" s="453">
        <v>31</v>
      </c>
      <c r="B42" s="454" t="s">
        <v>317</v>
      </c>
      <c r="C42" s="469" t="s">
        <v>318</v>
      </c>
      <c r="D42" s="456" t="s">
        <v>319</v>
      </c>
      <c r="E42" s="477" t="s">
        <v>2037</v>
      </c>
      <c r="F42" s="458">
        <v>1</v>
      </c>
      <c r="G42" s="459"/>
      <c r="H42" s="460" t="s">
        <v>2000</v>
      </c>
      <c r="I42" s="460"/>
      <c r="J42" s="460"/>
      <c r="K42" s="460" t="s">
        <v>1411</v>
      </c>
      <c r="L42" s="460">
        <v>60006914</v>
      </c>
      <c r="M42" s="461">
        <v>45812</v>
      </c>
      <c r="N42" s="461">
        <v>45820</v>
      </c>
      <c r="O42" s="470" t="s">
        <v>2038</v>
      </c>
      <c r="P42" s="463" t="str">
        <f>IF(LEFT(B42,5)="09735",
    IF(ISNA(VLOOKUP(Tabla13[[#This Row],[Apoyo]],'LM SAP'!A:G,1,FALSE)),
        "No Disponible",
        IF(VLOOKUP(Tabla13[[#This Row],[Apoyo]],'LM SAP'!A:AD,9,FALSE)="RR",
            "Disponible",
            "Firmas SAP"
        )
    ),
    "CONSULTAR"
)</f>
        <v>Disponible</v>
      </c>
      <c r="Q42" s="460" t="str">
        <f>MID(Tabla13[[#This Row],[Código Indra]],1,13)</f>
        <v>0973525110100</v>
      </c>
      <c r="R42" s="464" t="str">
        <f>IF(ISNA(VLOOKUP(Tabla13[[#This Row],[Código Indra]],#REF!,1,FALSE)),"NO", "SI")</f>
        <v>SI</v>
      </c>
      <c r="S42" s="460" t="str">
        <f>IF(ISNA(VLOOKUP(Tabla13[[#This Row],[Código Indra]],Tabla132[[Código INDRA]:[Nombre]],1,FALSE)),"NO", "SI")</f>
        <v>SI</v>
      </c>
      <c r="T42" s="465" t="s">
        <v>2005</v>
      </c>
      <c r="U42" s="464" t="s">
        <v>256</v>
      </c>
      <c r="V42" s="464" t="str">
        <f>VLOOKUP(Tabla13[[#This Row],[Apoyo]],'LM SAP'!A:I,9,FALSE)</f>
        <v>RR</v>
      </c>
      <c r="W42" s="464" t="s">
        <v>234</v>
      </c>
      <c r="X42" s="466"/>
      <c r="Y42" s="464">
        <f>Tabla13[[#This Row],[ID]]</f>
        <v>31</v>
      </c>
    </row>
    <row r="43" spans="1:25" s="464" customFormat="1" ht="72" x14ac:dyDescent="0.25">
      <c r="A43" s="453">
        <v>32</v>
      </c>
      <c r="B43" s="454" t="s">
        <v>317</v>
      </c>
      <c r="C43" s="469" t="s">
        <v>318</v>
      </c>
      <c r="D43" s="456" t="s">
        <v>319</v>
      </c>
      <c r="E43" s="478" t="s">
        <v>2039</v>
      </c>
      <c r="F43" s="458">
        <v>1</v>
      </c>
      <c r="G43" s="459"/>
      <c r="H43" s="460"/>
      <c r="I43" s="460" t="s">
        <v>2011</v>
      </c>
      <c r="J43" s="460">
        <v>24390001</v>
      </c>
      <c r="K43" s="460" t="s">
        <v>1411</v>
      </c>
      <c r="L43" s="460">
        <v>60004484</v>
      </c>
      <c r="M43" s="461">
        <v>45537</v>
      </c>
      <c r="N43" s="461">
        <v>45553</v>
      </c>
      <c r="O43" s="470" t="s">
        <v>2040</v>
      </c>
      <c r="P43" s="463" t="str">
        <f>IF(LEFT(B43,5)="09735",
    IF(ISNA(VLOOKUP(Tabla13[[#This Row],[Apoyo]],'LM SAP'!A:G,1,FALSE)),
        "No Disponible",
        IF(VLOOKUP(Tabla13[[#This Row],[Apoyo]],'LM SAP'!A:AD,9,FALSE)="RR",
            "Disponible",
            "Firmas SAP"
        )
    ),
    "CONSULTAR"
)</f>
        <v>Disponible</v>
      </c>
      <c r="Q43" s="460" t="str">
        <f>MID(Tabla13[[#This Row],[Código Indra]],1,13)</f>
        <v>0973525110100</v>
      </c>
      <c r="R43" s="464" t="str">
        <f>IF(ISNA(VLOOKUP(Tabla13[[#This Row],[Código Indra]],#REF!,1,FALSE)),"NO", "SI")</f>
        <v>SI</v>
      </c>
      <c r="S43" s="460" t="str">
        <f>IF(ISNA(VLOOKUP(Tabla13[[#This Row],[Código Indra]],Tabla132[[Código INDRA]:[Nombre]],1,FALSE)),"NO", "SI")</f>
        <v>SI</v>
      </c>
      <c r="T43" s="465" t="s">
        <v>2005</v>
      </c>
      <c r="U43" s="464" t="s">
        <v>256</v>
      </c>
      <c r="V43" s="464" t="str">
        <f>VLOOKUP(Tabla13[[#This Row],[Apoyo]],'LM SAP'!A:I,9,FALSE)</f>
        <v>RR</v>
      </c>
      <c r="W43" s="464" t="s">
        <v>234</v>
      </c>
      <c r="X43" s="466">
        <v>32</v>
      </c>
      <c r="Y43" s="464">
        <f>Tabla13[[#This Row],[ID]]</f>
        <v>32</v>
      </c>
    </row>
    <row r="44" spans="1:25" s="464" customFormat="1" ht="84" x14ac:dyDescent="0.25">
      <c r="A44" s="453">
        <v>33</v>
      </c>
      <c r="B44" s="454" t="s">
        <v>323</v>
      </c>
      <c r="C44" s="469" t="s">
        <v>324</v>
      </c>
      <c r="D44" s="456" t="s">
        <v>319</v>
      </c>
      <c r="E44" s="457" t="s">
        <v>2041</v>
      </c>
      <c r="F44" s="458">
        <v>1</v>
      </c>
      <c r="G44" s="459"/>
      <c r="H44" s="460"/>
      <c r="I44" s="460" t="s">
        <v>2011</v>
      </c>
      <c r="J44" s="460">
        <v>24390001</v>
      </c>
      <c r="K44" s="460" t="s">
        <v>1411</v>
      </c>
      <c r="L44" s="460">
        <v>60004487</v>
      </c>
      <c r="M44" s="461">
        <v>45537</v>
      </c>
      <c r="N44" s="461">
        <v>45554</v>
      </c>
      <c r="O44" s="470" t="s">
        <v>2042</v>
      </c>
      <c r="P44" s="463" t="str">
        <f>IF(LEFT(B44,5)="09735",
    IF(ISNA(VLOOKUP(Tabla13[[#This Row],[Apoyo]],'LM SAP'!A:G,1,FALSE)),
        "No Disponible",
        IF(VLOOKUP(Tabla13[[#This Row],[Apoyo]],'LM SAP'!A:AD,9,FALSE)="RR",
            "Disponible",
            "Firmas SAP"
        )
    ),
    "CONSULTAR"
)</f>
        <v>Disponible</v>
      </c>
      <c r="Q44" s="460" t="str">
        <f>MID(Tabla13[[#This Row],[Código Indra]],1,13)</f>
        <v>0973525110200</v>
      </c>
      <c r="R44" s="464" t="str">
        <f>IF(ISNA(VLOOKUP(Tabla13[[#This Row],[Código Indra]],#REF!,1,FALSE)),"NO", "SI")</f>
        <v>SI</v>
      </c>
      <c r="S44" s="460" t="str">
        <f>IF(ISNA(VLOOKUP(Tabla13[[#This Row],[Código Indra]],Tabla132[[Código INDRA]:[Nombre]],1,FALSE)),"NO", "SI")</f>
        <v>SI</v>
      </c>
      <c r="T44" s="465" t="s">
        <v>2005</v>
      </c>
      <c r="U44" s="464" t="s">
        <v>256</v>
      </c>
      <c r="V44" s="464" t="str">
        <f>VLOOKUP(Tabla13[[#This Row],[Apoyo]],'LM SAP'!A:I,9,FALSE)</f>
        <v>RR</v>
      </c>
      <c r="W44" s="464" t="s">
        <v>234</v>
      </c>
      <c r="X44" s="466">
        <v>32</v>
      </c>
      <c r="Y44" s="464">
        <f>Tabla13[[#This Row],[ID]]</f>
        <v>33</v>
      </c>
    </row>
    <row r="45" spans="1:25" s="464" customFormat="1" ht="48" x14ac:dyDescent="0.25">
      <c r="A45" s="453">
        <v>34</v>
      </c>
      <c r="B45" s="454" t="s">
        <v>327</v>
      </c>
      <c r="C45" s="469" t="s">
        <v>328</v>
      </c>
      <c r="D45" s="456" t="s">
        <v>319</v>
      </c>
      <c r="E45" s="457" t="s">
        <v>2043</v>
      </c>
      <c r="F45" s="458">
        <v>1</v>
      </c>
      <c r="G45" s="459"/>
      <c r="H45" s="460" t="s">
        <v>2000</v>
      </c>
      <c r="I45" s="460" t="s">
        <v>2011</v>
      </c>
      <c r="J45" s="460" t="s">
        <v>1318</v>
      </c>
      <c r="K45" s="460" t="s">
        <v>1411</v>
      </c>
      <c r="L45" s="460">
        <v>60004582</v>
      </c>
      <c r="M45" s="461">
        <v>45579</v>
      </c>
      <c r="N45" s="461">
        <v>45581</v>
      </c>
      <c r="O45" s="470" t="s">
        <v>330</v>
      </c>
      <c r="P45" s="463" t="str">
        <f>IF(LEFT(B45,5)="09735",
    IF(ISNA(VLOOKUP(Tabla13[[#This Row],[Apoyo]],'LM SAP'!A:G,1,FALSE)),
        "No Disponible",
        IF(VLOOKUP(Tabla13[[#This Row],[Apoyo]],'LM SAP'!A:AD,9,FALSE)="RR",
            "Disponible",
            "Firmas SAP"
        )
    ),
    "CONSULTAR"
)</f>
        <v>Disponible</v>
      </c>
      <c r="Q45" s="460" t="str">
        <f>MID(Tabla13[[#This Row],[Código Indra]],1,13)</f>
        <v>0973525110300</v>
      </c>
      <c r="R45" s="464" t="str">
        <f>IF(ISNA(VLOOKUP(Tabla13[[#This Row],[Código Indra]],#REF!,1,FALSE)),"NO", "SI")</f>
        <v>SI</v>
      </c>
      <c r="S45" s="460" t="str">
        <f>IF(ISNA(VLOOKUP(Tabla13[[#This Row],[Código Indra]],Tabla132[[Código INDRA]:[Nombre]],1,FALSE)),"NO", "SI")</f>
        <v>SI</v>
      </c>
      <c r="T45" s="465" t="s">
        <v>2005</v>
      </c>
      <c r="U45" s="464" t="s">
        <v>256</v>
      </c>
      <c r="V45" s="464" t="str">
        <f>VLOOKUP(Tabla13[[#This Row],[Apoyo]],'LM SAP'!A:I,9,FALSE)</f>
        <v>RR</v>
      </c>
      <c r="W45" s="464" t="s">
        <v>234</v>
      </c>
      <c r="X45" s="466">
        <v>32</v>
      </c>
      <c r="Y45" s="464">
        <f>Tabla13[[#This Row],[ID]]</f>
        <v>34</v>
      </c>
    </row>
    <row r="46" spans="1:25" s="464" customFormat="1" ht="48" x14ac:dyDescent="0.25">
      <c r="A46" s="453">
        <v>35</v>
      </c>
      <c r="B46" s="454" t="s">
        <v>331</v>
      </c>
      <c r="C46" s="469" t="s">
        <v>332</v>
      </c>
      <c r="D46" s="456" t="s">
        <v>319</v>
      </c>
      <c r="E46" s="457" t="s">
        <v>2044</v>
      </c>
      <c r="F46" s="458">
        <v>1</v>
      </c>
      <c r="G46" s="459"/>
      <c r="H46" s="460"/>
      <c r="I46" s="460" t="s">
        <v>2011</v>
      </c>
      <c r="J46" s="460" t="s">
        <v>1318</v>
      </c>
      <c r="K46" s="460" t="s">
        <v>1411</v>
      </c>
      <c r="L46" s="460">
        <v>60004565</v>
      </c>
      <c r="M46" s="461">
        <v>45573</v>
      </c>
      <c r="N46" s="461">
        <v>45595</v>
      </c>
      <c r="O46" s="470" t="s">
        <v>281</v>
      </c>
      <c r="P46" s="463" t="str">
        <f>IF(LEFT(B46,5)="09735",
    IF(ISNA(VLOOKUP(Tabla13[[#This Row],[Apoyo]],'LM SAP'!A:G,1,FALSE)),
        "No Disponible",
        IF(VLOOKUP(Tabla13[[#This Row],[Apoyo]],'LM SAP'!A:AD,9,FALSE)="RR",
            "Disponible",
            "Firmas SAP"
        )
    ),
    "CONSULTAR"
)</f>
        <v>No Disponible</v>
      </c>
      <c r="Q46" s="460" t="str">
        <f>MID(Tabla13[[#This Row],[Código Indra]],1,13)</f>
        <v>0973525110400</v>
      </c>
      <c r="R46" s="464" t="str">
        <f>IF(ISNA(VLOOKUP(Tabla13[[#This Row],[Código Indra]],#REF!,1,FALSE)),"NO", "SI")</f>
        <v>SI</v>
      </c>
      <c r="S46" s="460" t="str">
        <f>IF(ISNA(VLOOKUP(Tabla13[[#This Row],[Código Indra]],Tabla132[[Código INDRA]:[Nombre]],1,FALSE)),"NO", "SI")</f>
        <v>SI</v>
      </c>
      <c r="T46" s="465" t="s">
        <v>2005</v>
      </c>
      <c r="U46" s="464" t="s">
        <v>256</v>
      </c>
      <c r="V46" s="464" t="e">
        <f>VLOOKUP(Tabla13[[#This Row],[Apoyo]],'LM SAP'!A:I,9,FALSE)</f>
        <v>#N/A</v>
      </c>
      <c r="W46" s="464" t="s">
        <v>234</v>
      </c>
      <c r="X46" s="466">
        <v>32</v>
      </c>
      <c r="Y46" s="464">
        <f>Tabla13[[#This Row],[ID]]</f>
        <v>35</v>
      </c>
    </row>
    <row r="47" spans="1:25" s="464" customFormat="1" ht="84" x14ac:dyDescent="0.25">
      <c r="A47" s="453">
        <v>36</v>
      </c>
      <c r="B47" s="454" t="s">
        <v>334</v>
      </c>
      <c r="C47" s="469" t="s">
        <v>335</v>
      </c>
      <c r="D47" s="456" t="s">
        <v>319</v>
      </c>
      <c r="E47" s="457" t="s">
        <v>2045</v>
      </c>
      <c r="F47" s="458">
        <v>1</v>
      </c>
      <c r="G47" s="459"/>
      <c r="H47" s="460"/>
      <c r="I47" s="460" t="s">
        <v>2011</v>
      </c>
      <c r="J47" s="460">
        <v>24380001</v>
      </c>
      <c r="K47" s="460" t="s">
        <v>1411</v>
      </c>
      <c r="L47" s="460">
        <v>60004483</v>
      </c>
      <c r="M47" s="461">
        <v>45537</v>
      </c>
      <c r="N47" s="461">
        <v>45553</v>
      </c>
      <c r="O47" s="470" t="s">
        <v>2046</v>
      </c>
      <c r="P47" s="463" t="str">
        <f>IF(LEFT(B47,5)="09735",
    IF(ISNA(VLOOKUP(Tabla13[[#This Row],[Apoyo]],'LM SAP'!A:G,1,FALSE)),
        "No Disponible",
        IF(VLOOKUP(Tabla13[[#This Row],[Apoyo]],'LM SAP'!A:AD,9,FALSE)="RR",
            "Disponible",
            "Firmas SAP"
        )
    ),
    "CONSULTAR"
)</f>
        <v>No Disponible</v>
      </c>
      <c r="Q47" s="460" t="str">
        <f>MID(Tabla13[[#This Row],[Código Indra]],1,13)</f>
        <v>0973525110500</v>
      </c>
      <c r="R47" s="464" t="str">
        <f>IF(ISNA(VLOOKUP(Tabla13[[#This Row],[Código Indra]],#REF!,1,FALSE)),"NO", "SI")</f>
        <v>SI</v>
      </c>
      <c r="S47" s="460" t="str">
        <f>IF(ISNA(VLOOKUP(Tabla13[[#This Row],[Código Indra]],Tabla132[[Código INDRA]:[Nombre]],1,FALSE)),"NO", "SI")</f>
        <v>SI</v>
      </c>
      <c r="T47" s="465" t="s">
        <v>2005</v>
      </c>
      <c r="U47" s="464" t="s">
        <v>256</v>
      </c>
      <c r="V47" s="464" t="e">
        <f>VLOOKUP(Tabla13[[#This Row],[Apoyo]],'LM SAP'!A:I,9,FALSE)</f>
        <v>#N/A</v>
      </c>
      <c r="W47" s="464" t="s">
        <v>234</v>
      </c>
      <c r="X47" s="466">
        <v>32</v>
      </c>
      <c r="Y47" s="464">
        <f>Tabla13[[#This Row],[ID]]</f>
        <v>36</v>
      </c>
    </row>
    <row r="48" spans="1:25" s="464" customFormat="1" ht="36" x14ac:dyDescent="0.25">
      <c r="A48" s="453">
        <v>37</v>
      </c>
      <c r="B48" s="454" t="s">
        <v>338</v>
      </c>
      <c r="C48" s="469" t="s">
        <v>339</v>
      </c>
      <c r="D48" s="456" t="s">
        <v>319</v>
      </c>
      <c r="E48" s="457" t="s">
        <v>2047</v>
      </c>
      <c r="F48" s="458">
        <v>1</v>
      </c>
      <c r="G48" s="459"/>
      <c r="H48" s="460"/>
      <c r="I48" s="460" t="s">
        <v>2011</v>
      </c>
      <c r="J48" s="460" t="s">
        <v>1318</v>
      </c>
      <c r="K48" s="460" t="s">
        <v>1411</v>
      </c>
      <c r="L48" s="460">
        <v>60004722</v>
      </c>
      <c r="M48" s="461">
        <v>45593</v>
      </c>
      <c r="N48" s="461">
        <v>45610</v>
      </c>
      <c r="O48" s="470" t="s">
        <v>341</v>
      </c>
      <c r="P48" s="463" t="str">
        <f>IF(LEFT(B48,5)="09735",
    IF(ISNA(VLOOKUP(Tabla13[[#This Row],[Apoyo]],'LM SAP'!A:G,1,FALSE)),
        "No Disponible",
        IF(VLOOKUP(Tabla13[[#This Row],[Apoyo]],'LM SAP'!A:AD,9,FALSE)="RR",
            "Disponible",
            "Firmas SAP"
        )
    ),
    "CONSULTAR"
)</f>
        <v>No Disponible</v>
      </c>
      <c r="Q48" s="460" t="str">
        <f>MID(Tabla13[[#This Row],[Código Indra]],1,13)</f>
        <v>0973525110600</v>
      </c>
      <c r="R48" s="464" t="str">
        <f>IF(ISNA(VLOOKUP(Tabla13[[#This Row],[Código Indra]],#REF!,1,FALSE)),"NO", "SI")</f>
        <v>SI</v>
      </c>
      <c r="S48" s="460" t="str">
        <f>IF(ISNA(VLOOKUP(Tabla13[[#This Row],[Código Indra]],Tabla132[[Código INDRA]:[Nombre]],1,FALSE)),"NO", "SI")</f>
        <v>SI</v>
      </c>
      <c r="T48" s="465" t="s">
        <v>2005</v>
      </c>
      <c r="U48" s="464" t="s">
        <v>256</v>
      </c>
      <c r="V48" s="464" t="e">
        <f>VLOOKUP(Tabla13[[#This Row],[Apoyo]],'LM SAP'!A:I,9,FALSE)</f>
        <v>#N/A</v>
      </c>
      <c r="W48" s="464" t="s">
        <v>234</v>
      </c>
      <c r="X48" s="466">
        <v>8</v>
      </c>
      <c r="Y48" s="464">
        <f>Tabla13[[#This Row],[ID]]</f>
        <v>37</v>
      </c>
    </row>
    <row r="49" spans="1:25" s="464" customFormat="1" ht="60" x14ac:dyDescent="0.25">
      <c r="A49" s="453">
        <v>38</v>
      </c>
      <c r="B49" s="454" t="s">
        <v>342</v>
      </c>
      <c r="C49" s="469" t="s">
        <v>343</v>
      </c>
      <c r="D49" s="456" t="s">
        <v>319</v>
      </c>
      <c r="E49" s="457" t="s">
        <v>2048</v>
      </c>
      <c r="F49" s="458">
        <v>1</v>
      </c>
      <c r="G49" s="459"/>
      <c r="H49" s="460"/>
      <c r="I49" s="460" t="s">
        <v>2011</v>
      </c>
      <c r="J49" s="460">
        <v>24390001</v>
      </c>
      <c r="K49" s="460" t="s">
        <v>1411</v>
      </c>
      <c r="L49" s="460">
        <v>60004486</v>
      </c>
      <c r="M49" s="461">
        <v>45537</v>
      </c>
      <c r="N49" s="461">
        <v>45553</v>
      </c>
      <c r="O49" s="470" t="s">
        <v>2049</v>
      </c>
      <c r="P49" s="463" t="str">
        <f>IF(LEFT(B49,5)="09735",
    IF(ISNA(VLOOKUP(Tabla13[[#This Row],[Apoyo]],'LM SAP'!A:G,1,FALSE)),
        "No Disponible",
        IF(VLOOKUP(Tabla13[[#This Row],[Apoyo]],'LM SAP'!A:AD,9,FALSE)="RR",
            "Disponible",
            "Firmas SAP"
        )
    ),
    "CONSULTAR"
)</f>
        <v>No Disponible</v>
      </c>
      <c r="Q49" s="460" t="str">
        <f>MID(Tabla13[[#This Row],[Código Indra]],1,13)</f>
        <v>0973525110700</v>
      </c>
      <c r="R49" s="464" t="str">
        <f>IF(ISNA(VLOOKUP(Tabla13[[#This Row],[Código Indra]],#REF!,1,FALSE)),"NO", "SI")</f>
        <v>SI</v>
      </c>
      <c r="S49" s="460" t="str">
        <f>IF(ISNA(VLOOKUP(Tabla13[[#This Row],[Código Indra]],Tabla132[[Código INDRA]:[Nombre]],1,FALSE)),"NO", "SI")</f>
        <v>SI</v>
      </c>
      <c r="T49" s="465" t="s">
        <v>2005</v>
      </c>
      <c r="U49" s="464" t="s">
        <v>256</v>
      </c>
      <c r="V49" s="464" t="e">
        <f>VLOOKUP(Tabla13[[#This Row],[Apoyo]],'LM SAP'!A:I,9,FALSE)</f>
        <v>#N/A</v>
      </c>
      <c r="W49" s="464" t="s">
        <v>234</v>
      </c>
      <c r="X49" s="466">
        <v>32</v>
      </c>
      <c r="Y49" s="464">
        <f>Tabla13[[#This Row],[ID]]</f>
        <v>38</v>
      </c>
    </row>
    <row r="50" spans="1:25" s="464" customFormat="1" ht="48" x14ac:dyDescent="0.25">
      <c r="A50" s="453">
        <v>39</v>
      </c>
      <c r="B50" s="454" t="s">
        <v>346</v>
      </c>
      <c r="C50" s="469" t="s">
        <v>347</v>
      </c>
      <c r="D50" s="456" t="s">
        <v>319</v>
      </c>
      <c r="E50" s="457" t="s">
        <v>2050</v>
      </c>
      <c r="F50" s="458">
        <v>1</v>
      </c>
      <c r="G50" s="459"/>
      <c r="H50" s="460"/>
      <c r="I50" s="460" t="s">
        <v>2011</v>
      </c>
      <c r="J50" s="460">
        <v>24400001</v>
      </c>
      <c r="K50" s="460" t="s">
        <v>1411</v>
      </c>
      <c r="L50" s="460">
        <v>60004499</v>
      </c>
      <c r="M50" s="461">
        <v>45573</v>
      </c>
      <c r="N50" s="461">
        <v>45574</v>
      </c>
      <c r="O50" s="470" t="s">
        <v>2051</v>
      </c>
      <c r="P50" s="463" t="str">
        <f>IF(LEFT(B50,5)="09735",
    IF(ISNA(VLOOKUP(Tabla13[[#This Row],[Apoyo]],'LM SAP'!A:G,1,FALSE)),
        "No Disponible",
        IF(VLOOKUP(Tabla13[[#This Row],[Apoyo]],'LM SAP'!A:AD,9,FALSE)="RR",
            "Disponible",
            "Firmas SAP"
        )
    ),
    "CONSULTAR"
)</f>
        <v>No Disponible</v>
      </c>
      <c r="Q50" s="460" t="str">
        <f>MID(Tabla13[[#This Row],[Código Indra]],1,13)</f>
        <v>0973525110800</v>
      </c>
      <c r="R50" s="464" t="str">
        <f>IF(ISNA(VLOOKUP(Tabla13[[#This Row],[Código Indra]],#REF!,1,FALSE)),"NO", "SI")</f>
        <v>SI</v>
      </c>
      <c r="S50" s="460" t="str">
        <f>IF(ISNA(VLOOKUP(Tabla13[[#This Row],[Código Indra]],Tabla132[[Código INDRA]:[Nombre]],1,FALSE)),"NO", "SI")</f>
        <v>SI</v>
      </c>
      <c r="T50" s="465" t="s">
        <v>2005</v>
      </c>
      <c r="U50" s="464" t="s">
        <v>256</v>
      </c>
      <c r="V50" s="464" t="e">
        <f>VLOOKUP(Tabla13[[#This Row],[Apoyo]],'LM SAP'!A:I,9,FALSE)</f>
        <v>#N/A</v>
      </c>
      <c r="W50" s="464" t="s">
        <v>234</v>
      </c>
      <c r="X50" s="466">
        <v>32</v>
      </c>
      <c r="Y50" s="464">
        <f>Tabla13[[#This Row],[ID]]</f>
        <v>39</v>
      </c>
    </row>
    <row r="51" spans="1:25" s="479" customFormat="1" ht="48" x14ac:dyDescent="0.25">
      <c r="A51" s="453">
        <v>40</v>
      </c>
      <c r="B51" s="454" t="s">
        <v>350</v>
      </c>
      <c r="C51" s="469" t="s">
        <v>351</v>
      </c>
      <c r="D51" s="456" t="s">
        <v>319</v>
      </c>
      <c r="E51" s="457" t="s">
        <v>2052</v>
      </c>
      <c r="F51" s="458">
        <v>1</v>
      </c>
      <c r="G51" s="459"/>
      <c r="H51" s="460" t="s">
        <v>2000</v>
      </c>
      <c r="I51" s="460" t="s">
        <v>2011</v>
      </c>
      <c r="J51" s="460">
        <v>24390001</v>
      </c>
      <c r="K51" s="460" t="s">
        <v>1411</v>
      </c>
      <c r="L51" s="460">
        <v>60004485</v>
      </c>
      <c r="M51" s="461">
        <v>45537</v>
      </c>
      <c r="N51" s="461">
        <v>45553</v>
      </c>
      <c r="O51" s="467" t="s">
        <v>2001</v>
      </c>
      <c r="P51" s="463" t="str">
        <f>IF(LEFT(B51,5)="09735",
    IF(ISNA(VLOOKUP(Tabla13[[#This Row],[Apoyo]],'LM SAP'!A:G,1,FALSE)),
        "No Disponible",
        IF(VLOOKUP(Tabla13[[#This Row],[Apoyo]],'LM SAP'!A:AD,9,FALSE)="RR",
            "Disponible",
            "Firmas SAP"
        )
    ),
    "CONSULTAR"
)</f>
        <v>No Disponible</v>
      </c>
      <c r="Q51" s="460" t="str">
        <f>MID(Tabla13[[#This Row],[Código Indra]],1,13)</f>
        <v>0973525110900</v>
      </c>
      <c r="R51" s="464" t="str">
        <f>IF(ISNA(VLOOKUP(Tabla13[[#This Row],[Código Indra]],#REF!,1,FALSE)),"NO", "SI")</f>
        <v>SI</v>
      </c>
      <c r="S51" s="460" t="str">
        <f>IF(ISNA(VLOOKUP(Tabla13[[#This Row],[Código Indra]],Tabla132[[Código INDRA]:[Nombre]],1,FALSE)),"NO", "SI")</f>
        <v>SI</v>
      </c>
      <c r="T51" s="465" t="s">
        <v>2005</v>
      </c>
      <c r="U51" s="464" t="s">
        <v>256</v>
      </c>
      <c r="V51" s="464" t="e">
        <f>VLOOKUP(Tabla13[[#This Row],[Apoyo]],'LM SAP'!A:I,9,FALSE)</f>
        <v>#N/A</v>
      </c>
      <c r="W51" s="464" t="s">
        <v>234</v>
      </c>
      <c r="X51" s="466">
        <v>32</v>
      </c>
      <c r="Y51" s="464">
        <f>Tabla13[[#This Row],[ID]]</f>
        <v>40</v>
      </c>
    </row>
    <row r="52" spans="1:25" s="464" customFormat="1" ht="48" x14ac:dyDescent="0.25">
      <c r="A52" s="453">
        <v>41</v>
      </c>
      <c r="B52" s="454" t="s">
        <v>354</v>
      </c>
      <c r="C52" s="469" t="s">
        <v>355</v>
      </c>
      <c r="D52" s="456" t="s">
        <v>319</v>
      </c>
      <c r="E52" s="457" t="s">
        <v>2053</v>
      </c>
      <c r="F52" s="458">
        <v>1</v>
      </c>
      <c r="G52" s="459"/>
      <c r="H52" s="460"/>
      <c r="I52" s="460" t="s">
        <v>276</v>
      </c>
      <c r="J52" s="460">
        <v>24390001</v>
      </c>
      <c r="K52" s="460" t="s">
        <v>1411</v>
      </c>
      <c r="L52" s="460">
        <v>60004488</v>
      </c>
      <c r="M52" s="461">
        <v>45552</v>
      </c>
      <c r="N52" s="461">
        <v>45561</v>
      </c>
      <c r="O52" s="470" t="s">
        <v>2054</v>
      </c>
      <c r="P52" s="463" t="str">
        <f>IF(LEFT(B52,5)="09735",
    IF(ISNA(VLOOKUP(Tabla13[[#This Row],[Apoyo]],'LM SAP'!A:G,1,FALSE)),
        "No Disponible",
        IF(VLOOKUP(Tabla13[[#This Row],[Apoyo]],'LM SAP'!A:AD,9,FALSE)="RR",
            "Disponible",
            "Firmas SAP"
        )
    ),
    "CONSULTAR"
)</f>
        <v>No Disponible</v>
      </c>
      <c r="Q52" s="460" t="str">
        <f>MID(Tabla13[[#This Row],[Código Indra]],1,13)</f>
        <v>0973525111000</v>
      </c>
      <c r="R52" s="464" t="str">
        <f>IF(ISNA(VLOOKUP(Tabla13[[#This Row],[Código Indra]],#REF!,1,FALSE)),"NO", "SI")</f>
        <v>SI</v>
      </c>
      <c r="S52" s="460" t="str">
        <f>IF(ISNA(VLOOKUP(Tabla13[[#This Row],[Código Indra]],Tabla132[[Código INDRA]:[Nombre]],1,FALSE)),"NO", "SI")</f>
        <v>SI</v>
      </c>
      <c r="T52" s="465" t="s">
        <v>2005</v>
      </c>
      <c r="U52" s="464" t="s">
        <v>256</v>
      </c>
      <c r="V52" s="464" t="e">
        <f>VLOOKUP(Tabla13[[#This Row],[Apoyo]],'LM SAP'!A:I,9,FALSE)</f>
        <v>#N/A</v>
      </c>
      <c r="W52" s="464" t="s">
        <v>234</v>
      </c>
      <c r="X52" s="466">
        <v>8</v>
      </c>
      <c r="Y52" s="464">
        <f>Tabla13[[#This Row],[ID]]</f>
        <v>41</v>
      </c>
    </row>
    <row r="53" spans="1:25" s="464" customFormat="1" ht="48" x14ac:dyDescent="0.25">
      <c r="A53" s="453">
        <v>42</v>
      </c>
      <c r="B53" s="454" t="s">
        <v>358</v>
      </c>
      <c r="C53" s="469" t="s">
        <v>359</v>
      </c>
      <c r="D53" s="456" t="s">
        <v>319</v>
      </c>
      <c r="E53" s="457" t="s">
        <v>360</v>
      </c>
      <c r="F53" s="458">
        <v>1</v>
      </c>
      <c r="G53" s="459"/>
      <c r="H53" s="460"/>
      <c r="I53" s="460" t="s">
        <v>2011</v>
      </c>
      <c r="J53" s="460" t="s">
        <v>1318</v>
      </c>
      <c r="K53" s="460" t="s">
        <v>1411</v>
      </c>
      <c r="L53" s="460">
        <v>60005777</v>
      </c>
      <c r="M53" s="461">
        <v>45695</v>
      </c>
      <c r="N53" s="461">
        <v>45708</v>
      </c>
      <c r="O53" s="470" t="s">
        <v>2055</v>
      </c>
      <c r="P53" s="463" t="str">
        <f>IF(LEFT(B53,5)="09735",
    IF(ISNA(VLOOKUP(Tabla13[[#This Row],[Apoyo]],'LM SAP'!A:G,1,FALSE)),
        "No Disponible",
        IF(VLOOKUP(Tabla13[[#This Row],[Apoyo]],'LM SAP'!A:AD,9,FALSE)="RR",
            "Disponible",
            "Firmas SAP"
        )
    ),
    "CONSULTAR"
)</f>
        <v>No Disponible</v>
      </c>
      <c r="Q53" s="460" t="str">
        <f>MID(Tabla13[[#This Row],[Código Indra]],1,13)</f>
        <v>0973525111100</v>
      </c>
      <c r="R53" s="464" t="str">
        <f>IF(ISNA(VLOOKUP(Tabla13[[#This Row],[Código Indra]],#REF!,1,FALSE)),"NO", "SI")</f>
        <v>SI</v>
      </c>
      <c r="S53" s="460" t="str">
        <f>IF(ISNA(VLOOKUP(Tabla13[[#This Row],[Código Indra]],Tabla132[[Código INDRA]:[Nombre]],1,FALSE)),"NO", "SI")</f>
        <v>SI</v>
      </c>
      <c r="T53" s="465" t="s">
        <v>2005</v>
      </c>
      <c r="U53" s="464" t="s">
        <v>256</v>
      </c>
      <c r="V53" s="464" t="e">
        <f>VLOOKUP(Tabla13[[#This Row],[Apoyo]],'LM SAP'!A:I,9,FALSE)</f>
        <v>#N/A</v>
      </c>
      <c r="X53" s="466">
        <v>60</v>
      </c>
      <c r="Y53" s="464">
        <f>Tabla13[[#This Row],[ID]]</f>
        <v>42</v>
      </c>
    </row>
    <row r="54" spans="1:25" s="464" customFormat="1" ht="48" x14ac:dyDescent="0.25">
      <c r="A54" s="453">
        <v>43</v>
      </c>
      <c r="B54" s="454" t="s">
        <v>362</v>
      </c>
      <c r="C54" s="469" t="s">
        <v>363</v>
      </c>
      <c r="D54" s="456" t="s">
        <v>319</v>
      </c>
      <c r="E54" s="457" t="s">
        <v>2056</v>
      </c>
      <c r="F54" s="458">
        <v>1</v>
      </c>
      <c r="G54" s="459"/>
      <c r="H54" s="460"/>
      <c r="I54" s="460" t="s">
        <v>2011</v>
      </c>
      <c r="J54" s="460">
        <v>24390001</v>
      </c>
      <c r="K54" s="460" t="s">
        <v>1411</v>
      </c>
      <c r="L54" s="460">
        <v>60004489</v>
      </c>
      <c r="M54" s="461">
        <v>45537</v>
      </c>
      <c r="N54" s="461">
        <v>45698</v>
      </c>
      <c r="O54" s="470" t="s">
        <v>2057</v>
      </c>
      <c r="P54" s="463" t="str">
        <f>IF(LEFT(B54,5)="09735",
    IF(ISNA(VLOOKUP(Tabla13[[#This Row],[Apoyo]],'LM SAP'!A:G,1,FALSE)),
        "No Disponible",
        IF(VLOOKUP(Tabla13[[#This Row],[Apoyo]],'LM SAP'!A:AD,9,FALSE)="RR",
            "Disponible",
            "Firmas SAP"
        )
    ),
    "CONSULTAR"
)</f>
        <v>No Disponible</v>
      </c>
      <c r="Q54" s="460" t="str">
        <f>MID(Tabla13[[#This Row],[Código Indra]],1,13)</f>
        <v>0973525111200</v>
      </c>
      <c r="R54" s="464" t="str">
        <f>IF(ISNA(VLOOKUP(Tabla13[[#This Row],[Código Indra]],#REF!,1,FALSE)),"NO", "SI")</f>
        <v>SI</v>
      </c>
      <c r="S54" s="460" t="str">
        <f>IF(ISNA(VLOOKUP(Tabla13[[#This Row],[Código Indra]],Tabla132[[Código INDRA]:[Nombre]],1,FALSE)),"NO", "SI")</f>
        <v>SI</v>
      </c>
      <c r="T54" s="465" t="s">
        <v>2005</v>
      </c>
      <c r="U54" s="464" t="s">
        <v>256</v>
      </c>
      <c r="V54" s="464" t="e">
        <f>VLOOKUP(Tabla13[[#This Row],[Apoyo]],'LM SAP'!A:I,9,FALSE)</f>
        <v>#N/A</v>
      </c>
      <c r="X54" s="466">
        <v>32</v>
      </c>
      <c r="Y54" s="464">
        <f>Tabla13[[#This Row],[ID]]</f>
        <v>43</v>
      </c>
    </row>
    <row r="55" spans="1:25" s="464" customFormat="1" ht="72" x14ac:dyDescent="0.25">
      <c r="A55" s="453">
        <v>44</v>
      </c>
      <c r="B55" s="454" t="s">
        <v>366</v>
      </c>
      <c r="C55" s="469" t="s">
        <v>367</v>
      </c>
      <c r="D55" s="456" t="s">
        <v>319</v>
      </c>
      <c r="E55" s="457" t="s">
        <v>2058</v>
      </c>
      <c r="F55" s="458">
        <v>1</v>
      </c>
      <c r="G55" s="459"/>
      <c r="H55" s="460"/>
      <c r="I55" s="460" t="s">
        <v>2011</v>
      </c>
      <c r="J55" s="460" t="s">
        <v>1318</v>
      </c>
      <c r="K55" s="460" t="s">
        <v>1411</v>
      </c>
      <c r="L55" s="460">
        <v>60004583</v>
      </c>
      <c r="M55" s="461">
        <v>45579</v>
      </c>
      <c r="N55" s="461">
        <v>45583</v>
      </c>
      <c r="O55" s="470" t="s">
        <v>2059</v>
      </c>
      <c r="P55" s="463" t="str">
        <f>IF(LEFT(B55,5)="09735",
    IF(ISNA(VLOOKUP(Tabla13[[#This Row],[Apoyo]],'LM SAP'!A:G,1,FALSE)),
        "No Disponible",
        IF(VLOOKUP(Tabla13[[#This Row],[Apoyo]],'LM SAP'!A:AD,9,FALSE)="RR",
            "Disponible",
            "Firmas SAP"
        )
    ),
    "CONSULTAR"
)</f>
        <v>No Disponible</v>
      </c>
      <c r="Q55" s="460" t="str">
        <f>MID(Tabla13[[#This Row],[Código Indra]],1,13)</f>
        <v>0973525111500</v>
      </c>
      <c r="R55" s="464" t="str">
        <f>IF(ISNA(VLOOKUP(Tabla13[[#This Row],[Código Indra]],#REF!,1,FALSE)),"NO", "SI")</f>
        <v>SI</v>
      </c>
      <c r="S55" s="460" t="str">
        <f>IF(ISNA(VLOOKUP(Tabla13[[#This Row],[Código Indra]],Tabla132[[Código INDRA]:[Nombre]],1,FALSE)),"NO", "SI")</f>
        <v>SI</v>
      </c>
      <c r="T55" s="465" t="s">
        <v>2005</v>
      </c>
      <c r="U55" s="464" t="s">
        <v>256</v>
      </c>
      <c r="V55" s="464" t="e">
        <f>VLOOKUP(Tabla13[[#This Row],[Apoyo]],'LM SAP'!A:I,9,FALSE)</f>
        <v>#N/A</v>
      </c>
      <c r="X55" s="466">
        <v>8</v>
      </c>
      <c r="Y55" s="464">
        <f>Tabla13[[#This Row],[ID]]</f>
        <v>44</v>
      </c>
    </row>
    <row r="56" spans="1:25" s="464" customFormat="1" ht="48" x14ac:dyDescent="0.25">
      <c r="A56" s="453">
        <v>45</v>
      </c>
      <c r="B56" s="454" t="s">
        <v>370</v>
      </c>
      <c r="C56" s="469" t="s">
        <v>371</v>
      </c>
      <c r="D56" s="456" t="s">
        <v>319</v>
      </c>
      <c r="E56" s="457" t="s">
        <v>2060</v>
      </c>
      <c r="F56" s="458">
        <v>1</v>
      </c>
      <c r="G56" s="459"/>
      <c r="H56" s="460"/>
      <c r="I56" s="460" t="s">
        <v>2011</v>
      </c>
      <c r="J56" s="460" t="s">
        <v>1318</v>
      </c>
      <c r="K56" s="460" t="s">
        <v>1411</v>
      </c>
      <c r="L56" s="460">
        <v>60004584</v>
      </c>
      <c r="M56" s="461">
        <v>45579</v>
      </c>
      <c r="N56" s="461">
        <v>45583</v>
      </c>
      <c r="O56" s="470" t="s">
        <v>281</v>
      </c>
      <c r="P56" s="463" t="str">
        <f>IF(LEFT(B56,5)="09735",
    IF(ISNA(VLOOKUP(Tabla13[[#This Row],[Apoyo]],'LM SAP'!A:G,1,FALSE)),
        "No Disponible",
        IF(VLOOKUP(Tabla13[[#This Row],[Apoyo]],'LM SAP'!A:AD,9,FALSE)="RR",
            "Disponible",
            "Firmas SAP"
        )
    ),
    "CONSULTAR"
)</f>
        <v>No Disponible</v>
      </c>
      <c r="Q56" s="460" t="str">
        <f>MID(Tabla13[[#This Row],[Código Indra]],1,13)</f>
        <v>0973525111600</v>
      </c>
      <c r="R56" s="464" t="str">
        <f>IF(ISNA(VLOOKUP(Tabla13[[#This Row],[Código Indra]],#REF!,1,FALSE)),"NO", "SI")</f>
        <v>SI</v>
      </c>
      <c r="S56" s="460" t="str">
        <f>IF(ISNA(VLOOKUP(Tabla13[[#This Row],[Código Indra]],Tabla132[[Código INDRA]:[Nombre]],1,FALSE)),"NO", "SI")</f>
        <v>SI</v>
      </c>
      <c r="T56" s="465" t="s">
        <v>2005</v>
      </c>
      <c r="U56" s="464" t="s">
        <v>256</v>
      </c>
      <c r="V56" s="464" t="e">
        <f>VLOOKUP(Tabla13[[#This Row],[Apoyo]],'LM SAP'!A:I,9,FALSE)</f>
        <v>#N/A</v>
      </c>
      <c r="X56" s="466">
        <v>8</v>
      </c>
      <c r="Y56" s="464">
        <f>Tabla13[[#This Row],[ID]]</f>
        <v>45</v>
      </c>
    </row>
    <row r="57" spans="1:25" s="464" customFormat="1" ht="48" x14ac:dyDescent="0.25">
      <c r="A57" s="453">
        <v>46</v>
      </c>
      <c r="B57" s="454" t="s">
        <v>374</v>
      </c>
      <c r="C57" s="469" t="s">
        <v>375</v>
      </c>
      <c r="D57" s="456" t="s">
        <v>319</v>
      </c>
      <c r="E57" s="457" t="s">
        <v>2061</v>
      </c>
      <c r="F57" s="458">
        <v>1</v>
      </c>
      <c r="G57" s="459"/>
      <c r="H57" s="460"/>
      <c r="I57" s="460" t="s">
        <v>2011</v>
      </c>
      <c r="J57" s="460" t="s">
        <v>1318</v>
      </c>
      <c r="K57" s="460" t="s">
        <v>1411</v>
      </c>
      <c r="L57" s="460">
        <v>60004566</v>
      </c>
      <c r="M57" s="461">
        <v>45573</v>
      </c>
      <c r="N57" s="461">
        <v>45581</v>
      </c>
      <c r="O57" s="470" t="s">
        <v>377</v>
      </c>
      <c r="P57" s="463" t="str">
        <f>IF(LEFT(B57,5)="09735",
    IF(ISNA(VLOOKUP(Tabla13[[#This Row],[Apoyo]],'LM SAP'!A:G,1,FALSE)),
        "No Disponible",
        IF(VLOOKUP(Tabla13[[#This Row],[Apoyo]],'LM SAP'!A:AD,9,FALSE)="RR",
            "Disponible",
            "Firmas SAP"
        )
    ),
    "CONSULTAR"
)</f>
        <v>No Disponible</v>
      </c>
      <c r="Q57" s="460" t="str">
        <f>MID(Tabla13[[#This Row],[Código Indra]],1,13)</f>
        <v>0973525111700</v>
      </c>
      <c r="R57" s="464" t="str">
        <f>IF(ISNA(VLOOKUP(Tabla13[[#This Row],[Código Indra]],#REF!,1,FALSE)),"NO", "SI")</f>
        <v>SI</v>
      </c>
      <c r="S57" s="460" t="str">
        <f>IF(ISNA(VLOOKUP(Tabla13[[#This Row],[Código Indra]],Tabla132[[Código INDRA]:[Nombre]],1,FALSE)),"NO", "SI")</f>
        <v>SI</v>
      </c>
      <c r="T57" s="465" t="s">
        <v>2005</v>
      </c>
      <c r="U57" s="464" t="s">
        <v>256</v>
      </c>
      <c r="V57" s="464" t="e">
        <f>VLOOKUP(Tabla13[[#This Row],[Apoyo]],'LM SAP'!A:I,9,FALSE)</f>
        <v>#N/A</v>
      </c>
      <c r="X57" s="466">
        <v>8</v>
      </c>
      <c r="Y57" s="464">
        <f>Tabla13[[#This Row],[ID]]</f>
        <v>46</v>
      </c>
    </row>
    <row r="58" spans="1:25" s="464" customFormat="1" ht="48" x14ac:dyDescent="0.25">
      <c r="A58" s="453">
        <v>47</v>
      </c>
      <c r="B58" s="454" t="s">
        <v>378</v>
      </c>
      <c r="C58" s="469" t="s">
        <v>379</v>
      </c>
      <c r="D58" s="456" t="s">
        <v>319</v>
      </c>
      <c r="E58" s="457" t="s">
        <v>2062</v>
      </c>
      <c r="F58" s="458">
        <v>1</v>
      </c>
      <c r="G58" s="459"/>
      <c r="H58" s="460"/>
      <c r="I58" s="460" t="s">
        <v>2011</v>
      </c>
      <c r="J58" s="460" t="s">
        <v>1318</v>
      </c>
      <c r="K58" s="460" t="s">
        <v>1411</v>
      </c>
      <c r="L58" s="460">
        <v>60004555</v>
      </c>
      <c r="M58" s="461">
        <v>45572</v>
      </c>
      <c r="N58" s="461">
        <v>45593</v>
      </c>
      <c r="O58" s="470" t="s">
        <v>300</v>
      </c>
      <c r="P58" s="463" t="str">
        <f>IF(LEFT(B58,5)="09735",
    IF(ISNA(VLOOKUP(Tabla13[[#This Row],[Apoyo]],'LM SAP'!A:G,1,FALSE)),
        "No Disponible",
        IF(VLOOKUP(Tabla13[[#This Row],[Apoyo]],'LM SAP'!A:AD,9,FALSE)="RR",
            "Disponible",
            "Firmas SAP"
        )
    ),
    "CONSULTAR"
)</f>
        <v>No Disponible</v>
      </c>
      <c r="Q58" s="460" t="str">
        <f>MID(Tabla13[[#This Row],[Código Indra]],1,13)</f>
        <v>0973525112000</v>
      </c>
      <c r="R58" s="464" t="str">
        <f>IF(ISNA(VLOOKUP(Tabla13[[#This Row],[Código Indra]],#REF!,1,FALSE)),"NO", "SI")</f>
        <v>SI</v>
      </c>
      <c r="S58" s="460" t="str">
        <f>IF(ISNA(VLOOKUP(Tabla13[[#This Row],[Código Indra]],Tabla132[[Código INDRA]:[Nombre]],1,FALSE)),"NO", "SI")</f>
        <v>SI</v>
      </c>
      <c r="T58" s="465" t="s">
        <v>2005</v>
      </c>
      <c r="U58" s="464" t="s">
        <v>256</v>
      </c>
      <c r="V58" s="464" t="e">
        <f>VLOOKUP(Tabla13[[#This Row],[Apoyo]],'LM SAP'!A:I,9,FALSE)</f>
        <v>#N/A</v>
      </c>
      <c r="W58" s="464" t="s">
        <v>234</v>
      </c>
      <c r="X58" s="466">
        <v>32</v>
      </c>
      <c r="Y58" s="464">
        <f>Tabla13[[#This Row],[ID]]</f>
        <v>47</v>
      </c>
    </row>
    <row r="59" spans="1:25" s="464" customFormat="1" ht="180" x14ac:dyDescent="0.25">
      <c r="A59" s="453">
        <v>48</v>
      </c>
      <c r="B59" s="480" t="s">
        <v>381</v>
      </c>
      <c r="C59" s="469" t="s">
        <v>382</v>
      </c>
      <c r="D59" s="481" t="s">
        <v>319</v>
      </c>
      <c r="E59" s="457" t="s">
        <v>2063</v>
      </c>
      <c r="F59" s="458">
        <v>1</v>
      </c>
      <c r="G59" s="459"/>
      <c r="H59" s="460" t="s">
        <v>2000</v>
      </c>
      <c r="I59" s="460" t="s">
        <v>2011</v>
      </c>
      <c r="J59" s="460">
        <v>24390001</v>
      </c>
      <c r="K59" s="460" t="s">
        <v>1411</v>
      </c>
      <c r="L59" s="460">
        <v>60004532</v>
      </c>
      <c r="M59" s="461">
        <v>45568</v>
      </c>
      <c r="N59" s="461">
        <v>45681</v>
      </c>
      <c r="O59" s="470" t="s">
        <v>2064</v>
      </c>
      <c r="P59" s="463" t="str">
        <f>IF(LEFT(B59,5)="09735",
    IF(ISNA(VLOOKUP(Tabla13[[#This Row],[Apoyo]],'LM SAP'!A:G,1,FALSE)),
        "No Disponible",
        IF(VLOOKUP(Tabla13[[#This Row],[Apoyo]],'LM SAP'!A:AD,9,FALSE)="RR",
            "Disponible",
            "Firmas SAP"
        )
    ),
    "CONSULTAR"
)</f>
        <v>No Disponible</v>
      </c>
      <c r="Q59" s="460" t="str">
        <f>MID(Tabla13[[#This Row],[Código Indra]],1,13)</f>
        <v>0973525112300</v>
      </c>
      <c r="R59" s="464" t="str">
        <f>IF(ISNA(VLOOKUP(Tabla13[[#This Row],[Código Indra]],#REF!,1,FALSE)),"NO", "SI")</f>
        <v>SI</v>
      </c>
      <c r="S59" s="460" t="str">
        <f>IF(ISNA(VLOOKUP(Tabla13[[#This Row],[Código Indra]],Tabla132[[Código INDRA]:[Nombre]],1,FALSE)),"NO", "SI")</f>
        <v>SI</v>
      </c>
      <c r="T59" s="465" t="s">
        <v>2005</v>
      </c>
      <c r="U59" s="464" t="s">
        <v>256</v>
      </c>
      <c r="V59" s="464" t="e">
        <f>VLOOKUP(Tabla13[[#This Row],[Apoyo]],'LM SAP'!A:I,9,FALSE)</f>
        <v>#N/A</v>
      </c>
      <c r="X59" s="466">
        <v>8</v>
      </c>
      <c r="Y59" s="464">
        <f>Tabla13[[#This Row],[ID]]</f>
        <v>48</v>
      </c>
    </row>
    <row r="60" spans="1:25" s="464" customFormat="1" ht="48" x14ac:dyDescent="0.25">
      <c r="A60" s="453">
        <v>49</v>
      </c>
      <c r="B60" s="454" t="s">
        <v>694</v>
      </c>
      <c r="C60" s="469" t="s">
        <v>1441</v>
      </c>
      <c r="D60" s="456" t="s">
        <v>319</v>
      </c>
      <c r="E60" s="457" t="s">
        <v>2065</v>
      </c>
      <c r="F60" s="458">
        <v>1</v>
      </c>
      <c r="G60" s="459"/>
      <c r="H60" s="460"/>
      <c r="I60" s="460" t="s">
        <v>2011</v>
      </c>
      <c r="J60" s="460">
        <v>24370001</v>
      </c>
      <c r="K60" s="460" t="s">
        <v>1411</v>
      </c>
      <c r="L60" s="460">
        <v>60004391</v>
      </c>
      <c r="M60" s="461">
        <v>45551</v>
      </c>
      <c r="N60" s="461">
        <v>45562</v>
      </c>
      <c r="O60" s="470" t="s">
        <v>2066</v>
      </c>
      <c r="P60" s="463" t="str">
        <f>IF(LEFT(B60,5)="09735",
    IF(ISNA(VLOOKUP(Tabla13[[#This Row],[Apoyo]],'LM SAP'!A:G,1,FALSE)),
        "No Disponible",
        IF(VLOOKUP(Tabla13[[#This Row],[Apoyo]],'LM SAP'!A:AD,9,FALSE)="RR",
            "Disponible",
            "Firmas SAP"
        )
    ),
    "CONSULTAR"
)</f>
        <v>No Disponible</v>
      </c>
      <c r="Q60" s="460" t="str">
        <f>MID(Tabla13[[#This Row],[Código Indra]],1,13)</f>
        <v>0973525113000</v>
      </c>
      <c r="R60" s="464" t="str">
        <f>IF(ISNA(VLOOKUP(Tabla13[[#This Row],[Código Indra]],#REF!,1,FALSE)),"NO", "SI")</f>
        <v>SI</v>
      </c>
      <c r="S60" s="460" t="str">
        <f>IF(ISNA(VLOOKUP(Tabla13[[#This Row],[Código Indra]],Tabla132[[Código INDRA]:[Nombre]],1,FALSE)),"NO", "SI")</f>
        <v>SI</v>
      </c>
      <c r="T60" s="465" t="s">
        <v>2005</v>
      </c>
      <c r="U60" s="464" t="s">
        <v>256</v>
      </c>
      <c r="V60" s="464" t="e">
        <f>VLOOKUP(Tabla13[[#This Row],[Apoyo]],'LM SAP'!A:I,9,FALSE)</f>
        <v>#N/A</v>
      </c>
      <c r="X60" s="466">
        <v>8</v>
      </c>
      <c r="Y60" s="464">
        <f>Tabla13[[#This Row],[ID]]</f>
        <v>49</v>
      </c>
    </row>
    <row r="61" spans="1:25" s="464" customFormat="1" ht="48" x14ac:dyDescent="0.25">
      <c r="A61" s="453">
        <v>50</v>
      </c>
      <c r="B61" s="454" t="s">
        <v>698</v>
      </c>
      <c r="C61" s="469" t="s">
        <v>699</v>
      </c>
      <c r="D61" s="456" t="s">
        <v>319</v>
      </c>
      <c r="E61" s="457" t="s">
        <v>2067</v>
      </c>
      <c r="F61" s="458">
        <v>1</v>
      </c>
      <c r="G61" s="459"/>
      <c r="H61" s="460"/>
      <c r="I61" s="460" t="s">
        <v>2011</v>
      </c>
      <c r="J61" s="460">
        <v>24370001</v>
      </c>
      <c r="K61" s="460" t="s">
        <v>1411</v>
      </c>
      <c r="L61" s="460">
        <v>60004392</v>
      </c>
      <c r="M61" s="461">
        <v>45551</v>
      </c>
      <c r="N61" s="461">
        <v>45562</v>
      </c>
      <c r="O61" s="470" t="s">
        <v>2066</v>
      </c>
      <c r="P61" s="463" t="str">
        <f>IF(LEFT(B61,5)="09735",
    IF(ISNA(VLOOKUP(Tabla13[[#This Row],[Apoyo]],'LM SAP'!A:G,1,FALSE)),
        "No Disponible",
        IF(VLOOKUP(Tabla13[[#This Row],[Apoyo]],'LM SAP'!A:AD,9,FALSE)="RR",
            "Disponible",
            "Firmas SAP"
        )
    ),
    "CONSULTAR"
)</f>
        <v>No Disponible</v>
      </c>
      <c r="Q61" s="460" t="str">
        <f>MID(Tabla13[[#This Row],[Código Indra]],1,13)</f>
        <v>0973525113100</v>
      </c>
      <c r="R61" s="464" t="str">
        <f>IF(ISNA(VLOOKUP(Tabla13[[#This Row],[Código Indra]],#REF!,1,FALSE)),"NO", "SI")</f>
        <v>SI</v>
      </c>
      <c r="S61" s="460" t="str">
        <f>IF(ISNA(VLOOKUP(Tabla13[[#This Row],[Código Indra]],Tabla132[[Código INDRA]:[Nombre]],1,FALSE)),"NO", "SI")</f>
        <v>SI</v>
      </c>
      <c r="T61" s="465" t="s">
        <v>2005</v>
      </c>
      <c r="U61" s="464" t="s">
        <v>256</v>
      </c>
      <c r="V61" s="464" t="e">
        <f>VLOOKUP(Tabla13[[#This Row],[Apoyo]],'LM SAP'!A:I,9,FALSE)</f>
        <v>#N/A</v>
      </c>
      <c r="X61" s="466">
        <v>8</v>
      </c>
      <c r="Y61" s="464">
        <f>Tabla13[[#This Row],[ID]]</f>
        <v>50</v>
      </c>
    </row>
    <row r="62" spans="1:25" s="464" customFormat="1" ht="48" x14ac:dyDescent="0.25">
      <c r="A62" s="453">
        <v>51</v>
      </c>
      <c r="B62" s="454" t="s">
        <v>607</v>
      </c>
      <c r="C62" s="469" t="s">
        <v>608</v>
      </c>
      <c r="D62" s="456" t="s">
        <v>319</v>
      </c>
      <c r="E62" s="457" t="s">
        <v>700</v>
      </c>
      <c r="F62" s="458">
        <v>1</v>
      </c>
      <c r="G62" s="459"/>
      <c r="H62" s="460" t="s">
        <v>2000</v>
      </c>
      <c r="I62" s="460" t="s">
        <v>251</v>
      </c>
      <c r="J62" s="460" t="s">
        <v>1318</v>
      </c>
      <c r="K62" s="460" t="s">
        <v>1411</v>
      </c>
      <c r="L62" s="460">
        <v>60005642</v>
      </c>
      <c r="M62" s="461">
        <v>45681</v>
      </c>
      <c r="N62" s="461">
        <v>45686</v>
      </c>
      <c r="O62" s="470" t="s">
        <v>2068</v>
      </c>
      <c r="P62" s="463" t="str">
        <f>IF(LEFT(B62,5)="09735",
    IF(ISNA(VLOOKUP(Tabla13[[#This Row],[Apoyo]],'LM SAP'!A:G,1,FALSE)),
        "No Disponible",
        IF(VLOOKUP(Tabla13[[#This Row],[Apoyo]],'LM SAP'!A:AD,9,FALSE)="RR",
            "Disponible",
            "Firmas SAP"
        )
    ),
    "CONSULTAR"
)</f>
        <v>No Disponible</v>
      </c>
      <c r="Q62" s="460" t="str">
        <f>MID(Tabla13[[#This Row],[Código Indra]],1,13)</f>
        <v>0973525133000</v>
      </c>
      <c r="R62" s="464" t="str">
        <f>IF(ISNA(VLOOKUP(Tabla13[[#This Row],[Código Indra]],#REF!,1,FALSE)),"NO", "SI")</f>
        <v>SI</v>
      </c>
      <c r="S62" s="460" t="str">
        <f>IF(ISNA(VLOOKUP(Tabla13[[#This Row],[Código Indra]],Tabla132[[Código INDRA]:[Nombre]],1,FALSE)),"NO", "SI")</f>
        <v>SI</v>
      </c>
      <c r="T62" s="465"/>
      <c r="U62" s="464" t="s">
        <v>256</v>
      </c>
      <c r="V62" s="464" t="e">
        <f>VLOOKUP(Tabla13[[#This Row],[Apoyo]],'LM SAP'!A:I,9,FALSE)</f>
        <v>#N/A</v>
      </c>
      <c r="X62" s="466"/>
      <c r="Y62" s="464">
        <f>Tabla13[[#This Row],[ID]]</f>
        <v>51</v>
      </c>
    </row>
    <row r="63" spans="1:25" s="464" customFormat="1" ht="48" x14ac:dyDescent="0.25">
      <c r="A63" s="453">
        <v>52</v>
      </c>
      <c r="B63" s="454" t="s">
        <v>704</v>
      </c>
      <c r="C63" s="469" t="s">
        <v>705</v>
      </c>
      <c r="D63" s="456" t="s">
        <v>319</v>
      </c>
      <c r="E63" s="457" t="s">
        <v>2069</v>
      </c>
      <c r="F63" s="458">
        <v>1</v>
      </c>
      <c r="G63" s="459"/>
      <c r="H63" s="460" t="s">
        <v>2000</v>
      </c>
      <c r="I63" s="460" t="s">
        <v>2011</v>
      </c>
      <c r="J63" s="460">
        <v>24390001</v>
      </c>
      <c r="K63" s="460" t="s">
        <v>1411</v>
      </c>
      <c r="L63" s="460">
        <v>60004538</v>
      </c>
      <c r="M63" s="461">
        <v>45568</v>
      </c>
      <c r="N63" s="461">
        <v>45580</v>
      </c>
      <c r="O63" s="470" t="s">
        <v>2070</v>
      </c>
      <c r="P63" s="463" t="str">
        <f>IF(LEFT(B63,5)="09735",
    IF(ISNA(VLOOKUP(Tabla13[[#This Row],[Apoyo]],'LM SAP'!A:G,1,FALSE)),
        "No Disponible",
        IF(VLOOKUP(Tabla13[[#This Row],[Apoyo]],'LM SAP'!A:AD,9,FALSE)="RR",
            "Disponible",
            "Firmas SAP"
        )
    ),
    "CONSULTAR"
)</f>
        <v>No Disponible</v>
      </c>
      <c r="Q63" s="460" t="str">
        <f>MID(Tabla13[[#This Row],[Código Indra]],1,13)</f>
        <v>0973525139000</v>
      </c>
      <c r="R63" s="464" t="str">
        <f>IF(ISNA(VLOOKUP(Tabla13[[#This Row],[Código Indra]],#REF!,1,FALSE)),"NO", "SI")</f>
        <v>SI</v>
      </c>
      <c r="S63" s="460" t="str">
        <f>IF(ISNA(VLOOKUP(Tabla13[[#This Row],[Código Indra]],Tabla132[[Código INDRA]:[Nombre]],1,FALSE)),"NO", "SI")</f>
        <v>SI</v>
      </c>
      <c r="T63" s="465"/>
      <c r="U63" s="464" t="s">
        <v>256</v>
      </c>
      <c r="V63" s="464" t="e">
        <f>VLOOKUP(Tabla13[[#This Row],[Apoyo]],'LM SAP'!A:I,9,FALSE)</f>
        <v>#N/A</v>
      </c>
      <c r="X63" s="466">
        <v>8</v>
      </c>
      <c r="Y63" s="464">
        <f>Tabla13[[#This Row],[ID]]</f>
        <v>52</v>
      </c>
    </row>
    <row r="64" spans="1:25" s="464" customFormat="1" ht="48" x14ac:dyDescent="0.25">
      <c r="A64" s="453">
        <v>53</v>
      </c>
      <c r="B64" s="454" t="s">
        <v>385</v>
      </c>
      <c r="C64" s="469" t="s">
        <v>386</v>
      </c>
      <c r="D64" s="456" t="s">
        <v>319</v>
      </c>
      <c r="E64" s="457" t="s">
        <v>2071</v>
      </c>
      <c r="F64" s="458">
        <v>1</v>
      </c>
      <c r="G64" s="459"/>
      <c r="H64" s="460"/>
      <c r="I64" s="460" t="s">
        <v>2011</v>
      </c>
      <c r="J64" s="460" t="s">
        <v>1318</v>
      </c>
      <c r="K64" s="460" t="s">
        <v>1411</v>
      </c>
      <c r="L64" s="460">
        <v>60004273</v>
      </c>
      <c r="M64" s="461">
        <v>45540</v>
      </c>
      <c r="N64" s="461">
        <v>45561</v>
      </c>
      <c r="O64" s="470" t="s">
        <v>388</v>
      </c>
      <c r="P64" s="463" t="str">
        <f>IF(LEFT(B64,5)="09735",
    IF(ISNA(VLOOKUP(Tabla13[[#This Row],[Apoyo]],'LM SAP'!A:G,1,FALSE)),
        "No Disponible",
        IF(VLOOKUP(Tabla13[[#This Row],[Apoyo]],'LM SAP'!A:AD,9,FALSE)="RR",
            "Disponible",
            "Firmas SAP"
        )
    ),
    "CONSULTAR"
)</f>
        <v>No Disponible</v>
      </c>
      <c r="Q64" s="460" t="str">
        <f>MID(Tabla13[[#This Row],[Código Indra]],1,13)</f>
        <v>0973525140000</v>
      </c>
      <c r="R64" s="464" t="str">
        <f>IF(ISNA(VLOOKUP(Tabla13[[#This Row],[Código Indra]],#REF!,1,FALSE)),"NO", "SI")</f>
        <v>SI</v>
      </c>
      <c r="S64" s="460" t="str">
        <f>IF(ISNA(VLOOKUP(Tabla13[[#This Row],[Código Indra]],Tabla132[[Código INDRA]:[Nombre]],1,FALSE)),"NO", "SI")</f>
        <v>SI</v>
      </c>
      <c r="T64" s="465" t="s">
        <v>2005</v>
      </c>
      <c r="U64" s="464" t="s">
        <v>256</v>
      </c>
      <c r="V64" s="464" t="e">
        <f>VLOOKUP(Tabla13[[#This Row],[Apoyo]],'LM SAP'!A:I,9,FALSE)</f>
        <v>#N/A</v>
      </c>
      <c r="W64" s="464" t="s">
        <v>234</v>
      </c>
      <c r="X64" s="466">
        <v>32</v>
      </c>
      <c r="Y64" s="464">
        <f>Tabla13[[#This Row],[ID]]</f>
        <v>53</v>
      </c>
    </row>
    <row r="65" spans="1:25" s="464" customFormat="1" ht="36" x14ac:dyDescent="0.25">
      <c r="A65" s="482">
        <v>54</v>
      </c>
      <c r="B65" s="483" t="s">
        <v>141</v>
      </c>
      <c r="C65" s="468" t="s">
        <v>142</v>
      </c>
      <c r="D65" s="484" t="s">
        <v>98</v>
      </c>
      <c r="E65" s="485" t="s">
        <v>2072</v>
      </c>
      <c r="F65" s="486">
        <v>1</v>
      </c>
      <c r="G65" s="487"/>
      <c r="H65" s="488"/>
      <c r="I65" s="488" t="s">
        <v>2011</v>
      </c>
      <c r="J65" s="488" t="s">
        <v>1997</v>
      </c>
      <c r="K65" s="488" t="s">
        <v>1411</v>
      </c>
      <c r="L65" s="488">
        <v>60004273</v>
      </c>
      <c r="M65" s="489"/>
      <c r="N65" s="489"/>
      <c r="O65" s="467" t="s">
        <v>2001</v>
      </c>
      <c r="P65" s="490" t="str">
        <f>IF(LEFT(B65,5)="09735",
    IF(ISNA(VLOOKUP(Tabla13[[#This Row],[Apoyo]],'LM SAP'!A:G,1,FALSE)),
        "No Disponible",
        IF(VLOOKUP(Tabla13[[#This Row],[Apoyo]],'LM SAP'!A:AD,9,FALSE)="RR",
            "Disponible",
            "Firmas SAP"
        )
    ),
    "CONSULTAR"
)</f>
        <v>No Disponible</v>
      </c>
      <c r="Q65" s="488" t="str">
        <f>MID(Tabla13[[#This Row],[Código Indra]],1,13)</f>
        <v>0973525135000</v>
      </c>
      <c r="R65" s="479" t="str">
        <f>IF(ISNA(VLOOKUP(Tabla13[[#This Row],[Código Indra]],#REF!,1,FALSE)),"NO", "SI")</f>
        <v>SI</v>
      </c>
      <c r="S65" s="488" t="str">
        <f>IF(ISNA(VLOOKUP(Tabla13[[#This Row],[Código Indra]],Tabla132[[Código INDRA]:[Nombre]],1,FALSE)),"NO", "SI")</f>
        <v>SI</v>
      </c>
      <c r="T65" s="491"/>
      <c r="U65" s="479" t="s">
        <v>227</v>
      </c>
      <c r="V65" s="479" t="e">
        <f>VLOOKUP(Tabla13[[#This Row],[Apoyo]],'LM SAP'!A:I,9,FALSE)</f>
        <v>#N/A</v>
      </c>
      <c r="W65" s="479"/>
      <c r="X65" s="492"/>
      <c r="Y65" s="479">
        <f>Tabla13[[#This Row],[ID]]</f>
        <v>54</v>
      </c>
    </row>
    <row r="66" spans="1:25" s="464" customFormat="1" ht="36" x14ac:dyDescent="0.25">
      <c r="A66" s="453">
        <v>55</v>
      </c>
      <c r="B66" s="480" t="s">
        <v>389</v>
      </c>
      <c r="C66" s="469" t="s">
        <v>390</v>
      </c>
      <c r="D66" s="481" t="s">
        <v>142</v>
      </c>
      <c r="E66" s="457" t="s">
        <v>2073</v>
      </c>
      <c r="F66" s="458">
        <v>1</v>
      </c>
      <c r="G66" s="459"/>
      <c r="H66" s="460"/>
      <c r="I66" s="460" t="s">
        <v>2011</v>
      </c>
      <c r="J66" s="460" t="s">
        <v>1318</v>
      </c>
      <c r="K66" s="460" t="s">
        <v>1411</v>
      </c>
      <c r="L66" s="460">
        <v>60004988</v>
      </c>
      <c r="M66" s="461">
        <v>45615</v>
      </c>
      <c r="N66" s="461">
        <v>45635</v>
      </c>
      <c r="O66" s="467" t="s">
        <v>2001</v>
      </c>
      <c r="P66" s="463" t="str">
        <f>IF(LEFT(B66,5)="09735",
    IF(ISNA(VLOOKUP(Tabla13[[#This Row],[Apoyo]],'LM SAP'!A:G,1,FALSE)),
        "No Disponible",
        IF(VLOOKUP(Tabla13[[#This Row],[Apoyo]],'LM SAP'!A:AD,9,FALSE)="RR",
            "Disponible",
            "Firmas SAP"
        )
    ),
    "CONSULTAR"
)</f>
        <v>Disponible</v>
      </c>
      <c r="Q66" s="460" t="str">
        <f>MID(Tabla13[[#This Row],[Código Indra]],1,13)</f>
        <v>0973525140100</v>
      </c>
      <c r="R66" s="464" t="str">
        <f>IF(ISNA(VLOOKUP(Tabla13[[#This Row],[Código Indra]],#REF!,1,FALSE)),"NO", "SI")</f>
        <v>SI</v>
      </c>
      <c r="S66" s="460" t="str">
        <f>IF(ISNA(VLOOKUP(Tabla13[[#This Row],[Código Indra]],Tabla132[[Código INDRA]:[Nombre]],1,FALSE)),"NO", "SI")</f>
        <v>SI</v>
      </c>
      <c r="T66" s="465"/>
      <c r="U66" s="464" t="s">
        <v>256</v>
      </c>
      <c r="V66" s="464" t="str">
        <f>VLOOKUP(Tabla13[[#This Row],[Apoyo]],'LM SAP'!A:I,9,FALSE)</f>
        <v>RR</v>
      </c>
      <c r="X66" s="466">
        <v>100</v>
      </c>
      <c r="Y66" s="464">
        <f>Tabla13[[#This Row],[ID]]</f>
        <v>55</v>
      </c>
    </row>
    <row r="67" spans="1:25" s="464" customFormat="1" ht="36" x14ac:dyDescent="0.25">
      <c r="A67" s="453">
        <v>56</v>
      </c>
      <c r="B67" s="480" t="s">
        <v>392</v>
      </c>
      <c r="C67" s="469" t="s">
        <v>393</v>
      </c>
      <c r="D67" s="481" t="s">
        <v>142</v>
      </c>
      <c r="E67" s="457" t="s">
        <v>2074</v>
      </c>
      <c r="F67" s="458">
        <v>1</v>
      </c>
      <c r="G67" s="459"/>
      <c r="H67" s="460"/>
      <c r="I67" s="460" t="s">
        <v>2011</v>
      </c>
      <c r="J67" s="460" t="s">
        <v>1318</v>
      </c>
      <c r="K67" s="460" t="s">
        <v>1411</v>
      </c>
      <c r="L67" s="460">
        <v>60004989</v>
      </c>
      <c r="M67" s="461">
        <v>45615</v>
      </c>
      <c r="N67" s="461">
        <v>45638</v>
      </c>
      <c r="O67" s="470" t="s">
        <v>2075</v>
      </c>
      <c r="P67" s="463" t="str">
        <f>IF(LEFT(B67,5)="09735",
    IF(ISNA(VLOOKUP(Tabla13[[#This Row],[Apoyo]],'LM SAP'!A:G,1,FALSE)),
        "No Disponible",
        IF(VLOOKUP(Tabla13[[#This Row],[Apoyo]],'LM SAP'!A:AD,9,FALSE)="RR",
            "Disponible",
            "Firmas SAP"
        )
    ),
    "CONSULTAR"
)</f>
        <v>Disponible</v>
      </c>
      <c r="Q67" s="460" t="str">
        <f>MID(Tabla13[[#This Row],[Código Indra]],1,13)</f>
        <v>0973525140200</v>
      </c>
      <c r="R67" s="464" t="str">
        <f>IF(ISNA(VLOOKUP(Tabla13[[#This Row],[Código Indra]],#REF!,1,FALSE)),"NO", "SI")</f>
        <v>SI</v>
      </c>
      <c r="S67" s="460" t="str">
        <f>IF(ISNA(VLOOKUP(Tabla13[[#This Row],[Código Indra]],Tabla132[[Código INDRA]:[Nombre]],1,FALSE)),"NO", "SI")</f>
        <v>SI</v>
      </c>
      <c r="T67" s="465" t="s">
        <v>2005</v>
      </c>
      <c r="U67" s="464" t="s">
        <v>256</v>
      </c>
      <c r="V67" s="464" t="str">
        <f>VLOOKUP(Tabla13[[#This Row],[Apoyo]],'LM SAP'!A:I,9,FALSE)</f>
        <v>RR</v>
      </c>
      <c r="X67" s="466">
        <v>100</v>
      </c>
      <c r="Y67" s="464">
        <f>Tabla13[[#This Row],[ID]]</f>
        <v>56</v>
      </c>
    </row>
    <row r="68" spans="1:25" s="493" customFormat="1" ht="108" x14ac:dyDescent="0.25">
      <c r="A68" s="453">
        <v>57</v>
      </c>
      <c r="B68" s="480" t="s">
        <v>396</v>
      </c>
      <c r="C68" s="469" t="s">
        <v>397</v>
      </c>
      <c r="D68" s="481" t="s">
        <v>142</v>
      </c>
      <c r="E68" s="457" t="s">
        <v>2076</v>
      </c>
      <c r="F68" s="458">
        <v>1</v>
      </c>
      <c r="G68" s="459"/>
      <c r="H68" s="460"/>
      <c r="I68" s="460" t="s">
        <v>2011</v>
      </c>
      <c r="J68" s="460" t="s">
        <v>1318</v>
      </c>
      <c r="K68" s="460" t="s">
        <v>220</v>
      </c>
      <c r="L68" s="460">
        <v>60004990</v>
      </c>
      <c r="M68" s="461">
        <v>45615</v>
      </c>
      <c r="N68" s="461">
        <v>45638</v>
      </c>
      <c r="O68" s="470" t="s">
        <v>2077</v>
      </c>
      <c r="P68" s="463" t="str">
        <f>IF(LEFT(B68,5)="09735",
    IF(ISNA(VLOOKUP(Tabla13[[#This Row],[Apoyo]],'LM SAP'!A:G,1,FALSE)),
        "No Disponible",
        IF(VLOOKUP(Tabla13[[#This Row],[Apoyo]],'LM SAP'!A:AD,9,FALSE)="RR",
            "Disponible",
            "Firmas SAP"
        )
    ),
    "CONSULTAR"
)</f>
        <v>No Disponible</v>
      </c>
      <c r="Q68" s="460" t="str">
        <f>MID(Tabla13[[#This Row],[Código Indra]],1,13)</f>
        <v>0973525140300</v>
      </c>
      <c r="R68" s="464" t="str">
        <f>IF(ISNA(VLOOKUP(Tabla13[[#This Row],[Código Indra]],#REF!,1,FALSE)),"NO", "SI")</f>
        <v>SI</v>
      </c>
      <c r="S68" s="460" t="str">
        <f>IF(ISNA(VLOOKUP(Tabla13[[#This Row],[Código Indra]],Tabla132[[Código INDRA]:[Nombre]],1,FALSE)),"NO", "SI")</f>
        <v>SI</v>
      </c>
      <c r="T68" s="465" t="s">
        <v>2005</v>
      </c>
      <c r="U68" s="464" t="s">
        <v>256</v>
      </c>
      <c r="V68" s="464" t="e">
        <f>VLOOKUP(Tabla13[[#This Row],[Apoyo]],'LM SAP'!A:I,9,FALSE)</f>
        <v>#N/A</v>
      </c>
      <c r="W68" s="464"/>
      <c r="X68" s="466">
        <v>32</v>
      </c>
      <c r="Y68" s="464">
        <f>Tabla13[[#This Row],[ID]]</f>
        <v>57</v>
      </c>
    </row>
    <row r="69" spans="1:25" s="493" customFormat="1" ht="36" x14ac:dyDescent="0.25">
      <c r="A69" s="453">
        <v>58</v>
      </c>
      <c r="B69" s="454" t="s">
        <v>399</v>
      </c>
      <c r="C69" s="469" t="s">
        <v>400</v>
      </c>
      <c r="D69" s="456" t="s">
        <v>142</v>
      </c>
      <c r="E69" s="457" t="s">
        <v>2078</v>
      </c>
      <c r="F69" s="458">
        <v>1</v>
      </c>
      <c r="G69" s="459"/>
      <c r="H69" s="460"/>
      <c r="I69" s="460" t="s">
        <v>2011</v>
      </c>
      <c r="J69" s="460" t="s">
        <v>1318</v>
      </c>
      <c r="K69" s="460" t="s">
        <v>1411</v>
      </c>
      <c r="L69" s="460">
        <v>60004991</v>
      </c>
      <c r="M69" s="461">
        <v>45615</v>
      </c>
      <c r="N69" s="461">
        <v>45638</v>
      </c>
      <c r="O69" s="494" t="s">
        <v>2079</v>
      </c>
      <c r="P69" s="463" t="str">
        <f>IF(LEFT(B69,5)="09735",
    IF(ISNA(VLOOKUP(Tabla13[[#This Row],[Apoyo]],'LM SAP'!A:G,1,FALSE)),
        "No Disponible",
        IF(VLOOKUP(Tabla13[[#This Row],[Apoyo]],'LM SAP'!A:AD,9,FALSE)="RR",
            "Disponible",
            "Firmas SAP"
        )
    ),
    "CONSULTAR"
)</f>
        <v>No Disponible</v>
      </c>
      <c r="Q69" s="460" t="str">
        <f>MID(Tabla13[[#This Row],[Código Indra]],1,13)</f>
        <v>0973525140400</v>
      </c>
      <c r="R69" s="464" t="str">
        <f>IF(ISNA(VLOOKUP(Tabla13[[#This Row],[Código Indra]],#REF!,1,FALSE)),"NO", "SI")</f>
        <v>SI</v>
      </c>
      <c r="S69" s="460" t="str">
        <f>IF(ISNA(VLOOKUP(Tabla13[[#This Row],[Código Indra]],Tabla132[[Código INDRA]:[Nombre]],1,FALSE)),"NO", "SI")</f>
        <v>SI</v>
      </c>
      <c r="T69" s="465" t="s">
        <v>2005</v>
      </c>
      <c r="U69" s="464" t="s">
        <v>256</v>
      </c>
      <c r="V69" s="464" t="e">
        <f>VLOOKUP(Tabla13[[#This Row],[Apoyo]],'LM SAP'!A:I,9,FALSE)</f>
        <v>#N/A</v>
      </c>
      <c r="W69" s="464"/>
      <c r="X69" s="466">
        <v>8</v>
      </c>
      <c r="Y69" s="464">
        <f>Tabla13[[#This Row],[ID]]</f>
        <v>58</v>
      </c>
    </row>
    <row r="70" spans="1:25" s="464" customFormat="1" ht="36" x14ac:dyDescent="0.25">
      <c r="A70" s="453">
        <v>59</v>
      </c>
      <c r="B70" s="454" t="s">
        <v>403</v>
      </c>
      <c r="C70" s="469" t="s">
        <v>404</v>
      </c>
      <c r="D70" s="456" t="s">
        <v>142</v>
      </c>
      <c r="E70" s="457" t="s">
        <v>2080</v>
      </c>
      <c r="F70" s="458">
        <v>1</v>
      </c>
      <c r="G70" s="459"/>
      <c r="H70" s="460"/>
      <c r="I70" s="460" t="s">
        <v>2011</v>
      </c>
      <c r="J70" s="460" t="s">
        <v>1318</v>
      </c>
      <c r="K70" s="460" t="s">
        <v>1411</v>
      </c>
      <c r="L70" s="460">
        <v>60004737</v>
      </c>
      <c r="M70" s="461">
        <v>45607</v>
      </c>
      <c r="N70" s="461">
        <v>45611</v>
      </c>
      <c r="O70" s="470"/>
      <c r="P70" s="463" t="str">
        <f>IF(LEFT(B70,5)="09735",
    IF(ISNA(VLOOKUP(Tabla13[[#This Row],[Apoyo]],'LM SAP'!A:G,1,FALSE)),
        "No Disponible",
        IF(VLOOKUP(Tabla13[[#This Row],[Apoyo]],'LM SAP'!A:AD,9,FALSE)="RR",
            "Disponible",
            "Firmas SAP"
        )
    ),
    "CONSULTAR"
)</f>
        <v>No Disponible</v>
      </c>
      <c r="Q70" s="460" t="str">
        <f>MID(Tabla13[[#This Row],[Código Indra]],1,13)</f>
        <v>0973525140500</v>
      </c>
      <c r="R70" s="464" t="str">
        <f>IF(ISNA(VLOOKUP(Tabla13[[#This Row],[Código Indra]],#REF!,1,FALSE)),"NO", "SI")</f>
        <v>SI</v>
      </c>
      <c r="S70" s="460" t="str">
        <f>IF(ISNA(VLOOKUP(Tabla13[[#This Row],[Código Indra]],Tabla132[[Código INDRA]:[Nombre]],1,FALSE)),"NO", "SI")</f>
        <v>SI</v>
      </c>
      <c r="T70" s="465" t="s">
        <v>2005</v>
      </c>
      <c r="U70" s="464" t="s">
        <v>256</v>
      </c>
      <c r="V70" s="464" t="e">
        <f>VLOOKUP(Tabla13[[#This Row],[Apoyo]],'LM SAP'!A:I,9,FALSE)</f>
        <v>#N/A</v>
      </c>
      <c r="X70" s="466">
        <v>8</v>
      </c>
      <c r="Y70" s="464">
        <f>Tabla13[[#This Row],[ID]]</f>
        <v>59</v>
      </c>
    </row>
    <row r="71" spans="1:25" s="464" customFormat="1" ht="36" x14ac:dyDescent="0.25">
      <c r="A71" s="453">
        <v>60</v>
      </c>
      <c r="B71" s="454" t="s">
        <v>407</v>
      </c>
      <c r="C71" s="469" t="s">
        <v>408</v>
      </c>
      <c r="D71" s="456" t="s">
        <v>142</v>
      </c>
      <c r="E71" s="457" t="s">
        <v>2081</v>
      </c>
      <c r="F71" s="458">
        <v>1</v>
      </c>
      <c r="G71" s="459"/>
      <c r="H71" s="460"/>
      <c r="I71" s="460" t="s">
        <v>2011</v>
      </c>
      <c r="J71" s="460" t="s">
        <v>1318</v>
      </c>
      <c r="K71" s="460" t="s">
        <v>1411</v>
      </c>
      <c r="L71" s="460">
        <v>60005359</v>
      </c>
      <c r="M71" s="461">
        <v>45636</v>
      </c>
      <c r="N71" s="461">
        <v>45666</v>
      </c>
      <c r="O71" s="470"/>
      <c r="P71" s="463" t="str">
        <f>IF(LEFT(B71,5)="09735",
    IF(ISNA(VLOOKUP(Tabla13[[#This Row],[Apoyo]],'LM SAP'!A:G,1,FALSE)),
        "No Disponible",
        IF(VLOOKUP(Tabla13[[#This Row],[Apoyo]],'LM SAP'!A:AD,9,FALSE)="RR",
            "Disponible",
            "Firmas SAP"
        )
    ),
    "CONSULTAR"
)</f>
        <v>No Disponible</v>
      </c>
      <c r="Q71" s="460" t="str">
        <f>MID(Tabla13[[#This Row],[Código Indra]],1,13)</f>
        <v>0973525140600</v>
      </c>
      <c r="R71" s="464" t="str">
        <f>IF(ISNA(VLOOKUP(Tabla13[[#This Row],[Código Indra]],#REF!,1,FALSE)),"NO", "SI")</f>
        <v>SI</v>
      </c>
      <c r="S71" s="460" t="str">
        <f>IF(ISNA(VLOOKUP(Tabla13[[#This Row],[Código Indra]],Tabla132[[Código INDRA]:[Nombre]],1,FALSE)),"NO", "SI")</f>
        <v>SI</v>
      </c>
      <c r="T71" s="465" t="s">
        <v>2005</v>
      </c>
      <c r="U71" s="464" t="s">
        <v>256</v>
      </c>
      <c r="V71" s="464" t="e">
        <f>VLOOKUP(Tabla13[[#This Row],[Apoyo]],'LM SAP'!A:I,9,FALSE)</f>
        <v>#N/A</v>
      </c>
      <c r="X71" s="466"/>
      <c r="Y71" s="464">
        <f>Tabla13[[#This Row],[ID]]</f>
        <v>60</v>
      </c>
    </row>
    <row r="72" spans="1:25" s="464" customFormat="1" ht="36" x14ac:dyDescent="0.25">
      <c r="A72" s="453">
        <v>61</v>
      </c>
      <c r="B72" s="454" t="s">
        <v>410</v>
      </c>
      <c r="C72" s="469" t="s">
        <v>411</v>
      </c>
      <c r="D72" s="456" t="s">
        <v>142</v>
      </c>
      <c r="E72" s="457" t="s">
        <v>2082</v>
      </c>
      <c r="F72" s="458">
        <v>1</v>
      </c>
      <c r="G72" s="459"/>
      <c r="H72" s="460"/>
      <c r="I72" s="460" t="s">
        <v>2011</v>
      </c>
      <c r="J72" s="460" t="s">
        <v>1318</v>
      </c>
      <c r="K72" s="460" t="s">
        <v>1411</v>
      </c>
      <c r="L72" s="460">
        <v>60005261</v>
      </c>
      <c r="M72" s="461">
        <v>45623</v>
      </c>
      <c r="N72" s="461">
        <v>45642</v>
      </c>
      <c r="O72" s="494" t="s">
        <v>2083</v>
      </c>
      <c r="P72" s="463" t="str">
        <f>IF(LEFT(B72,5)="09735",
    IF(ISNA(VLOOKUP(Tabla13[[#This Row],[Apoyo]],'LM SAP'!A:G,1,FALSE)),
        "No Disponible",
        IF(VLOOKUP(Tabla13[[#This Row],[Apoyo]],'LM SAP'!A:AD,9,FALSE)="RR",
            "Disponible",
            "Firmas SAP"
        )
    ),
    "CONSULTAR"
)</f>
        <v>No Disponible</v>
      </c>
      <c r="Q72" s="460" t="str">
        <f>MID(Tabla13[[#This Row],[Código Indra]],1,13)</f>
        <v>0973525140700</v>
      </c>
      <c r="R72" s="464" t="str">
        <f>IF(ISNA(VLOOKUP(Tabla13[[#This Row],[Código Indra]],#REF!,1,FALSE)),"NO", "SI")</f>
        <v>SI</v>
      </c>
      <c r="S72" s="460" t="str">
        <f>IF(ISNA(VLOOKUP(Tabla13[[#This Row],[Código Indra]],Tabla132[[Código INDRA]:[Nombre]],1,FALSE)),"NO", "SI")</f>
        <v>SI</v>
      </c>
      <c r="T72" s="465" t="s">
        <v>2005</v>
      </c>
      <c r="U72" s="464" t="s">
        <v>256</v>
      </c>
      <c r="V72" s="464" t="e">
        <f>VLOOKUP(Tabla13[[#This Row],[Apoyo]],'LM SAP'!A:I,9,FALSE)</f>
        <v>#N/A</v>
      </c>
      <c r="X72" s="466"/>
      <c r="Y72" s="464">
        <f>Tabla13[[#This Row],[ID]]</f>
        <v>61</v>
      </c>
    </row>
    <row r="73" spans="1:25" s="464" customFormat="1" ht="36" x14ac:dyDescent="0.25">
      <c r="A73" s="453">
        <v>62</v>
      </c>
      <c r="B73" s="454" t="s">
        <v>414</v>
      </c>
      <c r="C73" s="469" t="s">
        <v>415</v>
      </c>
      <c r="D73" s="456" t="s">
        <v>142</v>
      </c>
      <c r="E73" s="457" t="s">
        <v>2084</v>
      </c>
      <c r="F73" s="458">
        <v>1</v>
      </c>
      <c r="G73" s="459"/>
      <c r="H73" s="460"/>
      <c r="I73" s="460" t="s">
        <v>2011</v>
      </c>
      <c r="J73" s="460" t="s">
        <v>1318</v>
      </c>
      <c r="K73" s="460" t="s">
        <v>1411</v>
      </c>
      <c r="L73" s="460">
        <v>60005360</v>
      </c>
      <c r="M73" s="461">
        <v>45636</v>
      </c>
      <c r="N73" s="461">
        <v>45644</v>
      </c>
      <c r="O73" s="470" t="s">
        <v>2085</v>
      </c>
      <c r="P73" s="463" t="str">
        <f>IF(LEFT(B73,5)="09735",
    IF(ISNA(VLOOKUP(Tabla13[[#This Row],[Apoyo]],'LM SAP'!A:G,1,FALSE)),
        "No Disponible",
        IF(VLOOKUP(Tabla13[[#This Row],[Apoyo]],'LM SAP'!A:AD,9,FALSE)="RR",
            "Disponible",
            "Firmas SAP"
        )
    ),
    "CONSULTAR"
)</f>
        <v>No Disponible</v>
      </c>
      <c r="Q73" s="460" t="str">
        <f>MID(Tabla13[[#This Row],[Código Indra]],1,13)</f>
        <v>0973525140800</v>
      </c>
      <c r="R73" s="464" t="str">
        <f>IF(ISNA(VLOOKUP(Tabla13[[#This Row],[Código Indra]],#REF!,1,FALSE)),"NO", "SI")</f>
        <v>SI</v>
      </c>
      <c r="S73" s="460" t="str">
        <f>IF(ISNA(VLOOKUP(Tabla13[[#This Row],[Código Indra]],Tabla132[[Código INDRA]:[Nombre]],1,FALSE)),"NO", "SI")</f>
        <v>SI</v>
      </c>
      <c r="T73" s="465" t="s">
        <v>2005</v>
      </c>
      <c r="U73" s="464" t="s">
        <v>256</v>
      </c>
      <c r="V73" s="464" t="e">
        <f>VLOOKUP(Tabla13[[#This Row],[Apoyo]],'LM SAP'!A:I,9,FALSE)</f>
        <v>#N/A</v>
      </c>
      <c r="X73" s="466"/>
      <c r="Y73" s="464">
        <f>Tabla13[[#This Row],[ID]]</f>
        <v>62</v>
      </c>
    </row>
    <row r="74" spans="1:25" s="464" customFormat="1" ht="48" x14ac:dyDescent="0.25">
      <c r="A74" s="453">
        <v>63</v>
      </c>
      <c r="B74" s="454" t="s">
        <v>144</v>
      </c>
      <c r="C74" s="455" t="s">
        <v>145</v>
      </c>
      <c r="D74" s="456" t="s">
        <v>98</v>
      </c>
      <c r="E74" s="457" t="s">
        <v>2086</v>
      </c>
      <c r="F74" s="458">
        <v>1</v>
      </c>
      <c r="G74" s="459"/>
      <c r="H74" s="460"/>
      <c r="I74" s="460" t="s">
        <v>276</v>
      </c>
      <c r="J74" s="460" t="s">
        <v>1997</v>
      </c>
      <c r="K74" s="460" t="s">
        <v>1411</v>
      </c>
      <c r="L74" s="460">
        <v>60005661</v>
      </c>
      <c r="M74" s="461">
        <v>45683</v>
      </c>
      <c r="N74" s="461">
        <v>45694</v>
      </c>
      <c r="O74" s="472" t="s">
        <v>2087</v>
      </c>
      <c r="P74" s="463" t="str">
        <f>IF(LEFT(B74,5)="09735",
    IF(ISNA(VLOOKUP(Tabla13[[#This Row],[Apoyo]],'LM SAP'!A:G,1,FALSE)),
        "No Disponible",
        IF(VLOOKUP(Tabla13[[#This Row],[Apoyo]],'LM SAP'!A:AD,9,FALSE)="RR",
            "Disponible",
            "Firmas SAP"
        )
    ),
    "CONSULTAR"
)</f>
        <v>No Disponible</v>
      </c>
      <c r="Q74" s="460" t="str">
        <f>MID(Tabla13[[#This Row],[Código Indra]],1,13)</f>
        <v>0973525150000</v>
      </c>
      <c r="R74" s="464" t="str">
        <f>IF(ISNA(VLOOKUP(Tabla13[[#This Row],[Código Indra]],#REF!,1,FALSE)),"NO", "SI")</f>
        <v>SI</v>
      </c>
      <c r="S74" s="460" t="str">
        <f>IF(ISNA(VLOOKUP(Tabla13[[#This Row],[Código Indra]],Tabla132[[Código INDRA]:[Nombre]],1,FALSE)),"NO", "SI")</f>
        <v>SI</v>
      </c>
      <c r="T74" s="465" t="s">
        <v>2005</v>
      </c>
      <c r="U74" s="464" t="s">
        <v>227</v>
      </c>
      <c r="V74" s="464" t="e">
        <f>VLOOKUP(Tabla13[[#This Row],[Apoyo]],'LM SAP'!A:I,9,FALSE)</f>
        <v>#N/A</v>
      </c>
      <c r="X74" s="466"/>
      <c r="Y74" s="464">
        <f>Tabla13[[#This Row],[ID]]</f>
        <v>63</v>
      </c>
    </row>
    <row r="75" spans="1:25" s="464" customFormat="1" ht="36" x14ac:dyDescent="0.25">
      <c r="A75" s="453">
        <v>64</v>
      </c>
      <c r="B75" s="454" t="s">
        <v>147</v>
      </c>
      <c r="C75" s="455" t="s">
        <v>148</v>
      </c>
      <c r="D75" s="456" t="s">
        <v>98</v>
      </c>
      <c r="E75" s="457" t="s">
        <v>1390</v>
      </c>
      <c r="F75" s="458">
        <v>1</v>
      </c>
      <c r="G75" s="459" t="s">
        <v>260</v>
      </c>
      <c r="H75" s="460"/>
      <c r="I75" s="460" t="s">
        <v>276</v>
      </c>
      <c r="J75" s="460" t="s">
        <v>1318</v>
      </c>
      <c r="K75" s="460" t="s">
        <v>1411</v>
      </c>
      <c r="L75" s="460">
        <v>60005425</v>
      </c>
      <c r="M75" s="461">
        <v>45643</v>
      </c>
      <c r="N75" s="461">
        <v>45643</v>
      </c>
      <c r="O75" s="470" t="s">
        <v>2088</v>
      </c>
      <c r="P75" s="463" t="str">
        <f>IF(LEFT(B75,5)="09735",
    IF(ISNA(VLOOKUP(Tabla13[[#This Row],[Apoyo]],'LM SAP'!A:G,1,FALSE)),
        "No Disponible",
        IF(VLOOKUP(Tabla13[[#This Row],[Apoyo]],'LM SAP'!A:AD,9,FALSE)="RR",
            "Disponible",
            "Firmas SAP"
        )
    ),
    "CONSULTAR"
)</f>
        <v>No Disponible</v>
      </c>
      <c r="Q75" s="460" t="str">
        <f>MID(Tabla13[[#This Row],[Código Indra]],1,13)</f>
        <v>0973525160000</v>
      </c>
      <c r="R75" s="464" t="str">
        <f>IF(ISNA(VLOOKUP(Tabla13[[#This Row],[Código Indra]],#REF!,1,FALSE)),"NO", "SI")</f>
        <v>SI</v>
      </c>
      <c r="S75" s="460" t="str">
        <f>IF(ISNA(VLOOKUP(Tabla13[[#This Row],[Código Indra]],Tabla132[[Código INDRA]:[Nombre]],1,FALSE)),"NO", "SI")</f>
        <v>NO</v>
      </c>
      <c r="T75" s="465" t="s">
        <v>2005</v>
      </c>
      <c r="U75" s="464" t="s">
        <v>227</v>
      </c>
      <c r="V75" s="464" t="e">
        <f>VLOOKUP(Tabla13[[#This Row],[Apoyo]],'LM SAP'!A:I,9,FALSE)</f>
        <v>#N/A</v>
      </c>
      <c r="W75" s="464" t="s">
        <v>234</v>
      </c>
      <c r="X75" s="466"/>
      <c r="Y75" s="464">
        <f>Tabla13[[#This Row],[ID]]</f>
        <v>64</v>
      </c>
    </row>
    <row r="76" spans="1:25" s="464" customFormat="1" ht="36" x14ac:dyDescent="0.25">
      <c r="A76" s="453">
        <v>65</v>
      </c>
      <c r="B76" s="454" t="s">
        <v>100</v>
      </c>
      <c r="C76" s="455" t="s">
        <v>101</v>
      </c>
      <c r="D76" s="456" t="s">
        <v>1423</v>
      </c>
      <c r="E76" s="457" t="s">
        <v>610</v>
      </c>
      <c r="F76" s="458">
        <v>1</v>
      </c>
      <c r="G76" s="459"/>
      <c r="H76" s="460" t="s">
        <v>2000</v>
      </c>
      <c r="I76" s="460" t="s">
        <v>2011</v>
      </c>
      <c r="J76" s="460" t="s">
        <v>1318</v>
      </c>
      <c r="K76" s="460" t="s">
        <v>1411</v>
      </c>
      <c r="L76" s="460">
        <v>60005438</v>
      </c>
      <c r="M76" s="461">
        <v>45665</v>
      </c>
      <c r="N76" s="461">
        <v>45686</v>
      </c>
      <c r="O76" s="467" t="s">
        <v>2001</v>
      </c>
      <c r="P76" s="463" t="str">
        <f>IF(LEFT(B76,5)="09735",
    IF(ISNA(VLOOKUP(Tabla13[[#This Row],[Apoyo]],'LM SAP'!A:G,1,FALSE)),
        "No Disponible",
        IF(VLOOKUP(Tabla13[[#This Row],[Apoyo]],'LM SAP'!A:AD,9,FALSE)="RR",
            "Disponible",
            "Firmas SAP"
        )
    ),
    "CONSULTAR"
)</f>
        <v>No Disponible</v>
      </c>
      <c r="Q76" s="460" t="str">
        <f>MID(Tabla13[[#This Row],[Código Indra]],1,13)</f>
        <v>0973525170000</v>
      </c>
      <c r="R76" s="464" t="str">
        <f>IF(ISNA(VLOOKUP(Tabla13[[#This Row],[Código Indra]],#REF!,1,FALSE)),"NO", "SI")</f>
        <v>SI</v>
      </c>
      <c r="S76" s="460" t="str">
        <f>IF(ISNA(VLOOKUP(Tabla13[[#This Row],[Código Indra]],Tabla132[[Código INDRA]:[Nombre]],1,FALSE)),"NO", "SI")</f>
        <v>SI</v>
      </c>
      <c r="T76" s="465"/>
      <c r="U76" s="464" t="s">
        <v>227</v>
      </c>
      <c r="V76" s="464" t="e">
        <f>VLOOKUP(Tabla13[[#This Row],[Apoyo]],'LM SAP'!A:I,9,FALSE)</f>
        <v>#N/A</v>
      </c>
      <c r="X76" s="466"/>
      <c r="Y76" s="464">
        <f>Tabla13[[#This Row],[ID]]</f>
        <v>65</v>
      </c>
    </row>
    <row r="77" spans="1:25" s="464" customFormat="1" ht="72" x14ac:dyDescent="0.25">
      <c r="A77" s="453">
        <v>66</v>
      </c>
      <c r="B77" s="454" t="s">
        <v>103</v>
      </c>
      <c r="C77" s="469" t="s">
        <v>104</v>
      </c>
      <c r="D77" s="456" t="s">
        <v>101</v>
      </c>
      <c r="E77" s="457" t="s">
        <v>1316</v>
      </c>
      <c r="F77" s="458">
        <v>1</v>
      </c>
      <c r="G77" s="459" t="s">
        <v>260</v>
      </c>
      <c r="H77" s="460"/>
      <c r="I77" s="460" t="s">
        <v>276</v>
      </c>
      <c r="J77" s="460" t="s">
        <v>1318</v>
      </c>
      <c r="K77" s="460" t="s">
        <v>1411</v>
      </c>
      <c r="L77" s="460">
        <v>60005426</v>
      </c>
      <c r="M77" s="461">
        <v>45643</v>
      </c>
      <c r="N77" s="461">
        <v>45666</v>
      </c>
      <c r="O77" s="470" t="s">
        <v>2089</v>
      </c>
      <c r="P77" s="463" t="str">
        <f>IF(LEFT(B77,5)="09735",
    IF(ISNA(VLOOKUP(Tabla13[[#This Row],[Apoyo]],'LM SAP'!A:G,1,FALSE)),
        "No Disponible",
        IF(VLOOKUP(Tabla13[[#This Row],[Apoyo]],'LM SAP'!A:AD,9,FALSE)="RR",
            "Disponible",
            "Firmas SAP"
        )
    ),
    "CONSULTAR"
)</f>
        <v>No Disponible</v>
      </c>
      <c r="Q77" s="460" t="str">
        <f>MID(Tabla13[[#This Row],[Código Indra]],1,13)</f>
        <v>0973525170100</v>
      </c>
      <c r="R77" s="464" t="str">
        <f>IF(ISNA(VLOOKUP(Tabla13[[#This Row],[Código Indra]],#REF!,1,FALSE)),"NO", "SI")</f>
        <v>SI</v>
      </c>
      <c r="S77" s="460" t="str">
        <f>IF(ISNA(VLOOKUP(Tabla13[[#This Row],[Código Indra]],Tabla132[[Código INDRA]:[Nombre]],1,FALSE)),"NO", "SI")</f>
        <v>SI</v>
      </c>
      <c r="T77" s="465" t="s">
        <v>2005</v>
      </c>
      <c r="U77" s="464" t="s">
        <v>227</v>
      </c>
      <c r="V77" s="464" t="e">
        <f>VLOOKUP(Tabla13[[#This Row],[Apoyo]],'LM SAP'!A:I,9,FALSE)</f>
        <v>#N/A</v>
      </c>
      <c r="W77" s="464" t="s">
        <v>234</v>
      </c>
      <c r="X77" s="466"/>
      <c r="Y77" s="464">
        <f>Tabla13[[#This Row],[ID]]</f>
        <v>66</v>
      </c>
    </row>
    <row r="78" spans="1:25" s="464" customFormat="1" ht="36" x14ac:dyDescent="0.25">
      <c r="A78" s="453">
        <v>67</v>
      </c>
      <c r="B78" s="454" t="s">
        <v>632</v>
      </c>
      <c r="C78" s="469" t="s">
        <v>633</v>
      </c>
      <c r="D78" s="456" t="s">
        <v>101</v>
      </c>
      <c r="E78" s="457" t="s">
        <v>2090</v>
      </c>
      <c r="F78" s="458">
        <v>6</v>
      </c>
      <c r="G78" s="459"/>
      <c r="H78" s="460"/>
      <c r="I78" s="460" t="s">
        <v>276</v>
      </c>
      <c r="J78" s="460" t="s">
        <v>474</v>
      </c>
      <c r="K78" s="460" t="s">
        <v>1411</v>
      </c>
      <c r="L78" s="460">
        <v>60004563</v>
      </c>
      <c r="M78" s="461">
        <v>45572</v>
      </c>
      <c r="N78" s="461">
        <v>45679</v>
      </c>
      <c r="O78" s="470" t="s">
        <v>2091</v>
      </c>
      <c r="P78" s="463" t="str">
        <f>IF(LEFT(B78,5)="09735",
    IF(ISNA(VLOOKUP(Tabla13[[#This Row],[Apoyo]],'LM SAP'!A:G,1,FALSE)),
        "No Disponible",
        IF(VLOOKUP(Tabla13[[#This Row],[Apoyo]],'LM SAP'!A:AD,9,FALSE)="RR",
            "Disponible",
            "Firmas SAP"
        )
    ),
    "CONSULTAR"
)</f>
        <v>CONSULTAR</v>
      </c>
      <c r="Q78" s="460" t="str">
        <f>MID(Tabla13[[#This Row],[Código Indra]],1,13)</f>
        <v>0972828220000</v>
      </c>
      <c r="R78" s="464" t="str">
        <f>IF(ISNA(VLOOKUP(Tabla13[[#This Row],[Código Indra]],#REF!,1,FALSE)),"NO", "SI")</f>
        <v>SI</v>
      </c>
      <c r="S78" s="460" t="str">
        <f>IF(ISNA(VLOOKUP(Tabla13[[#This Row],[Código Indra]],Tabla132[[Código INDRA]:[Nombre]],1,FALSE)),"NO", "SI")</f>
        <v>NO</v>
      </c>
      <c r="T78" s="465" t="s">
        <v>2005</v>
      </c>
      <c r="U78" s="464" t="s">
        <v>256</v>
      </c>
      <c r="V78" s="464" t="e">
        <f>VLOOKUP(Tabla13[[#This Row],[Apoyo]],'LM SAP'!A:I,9,FALSE)</f>
        <v>#N/A</v>
      </c>
      <c r="X78" s="466">
        <v>1</v>
      </c>
      <c r="Y78" s="464">
        <f>Tabla13[[#This Row],[ID]]</f>
        <v>67</v>
      </c>
    </row>
    <row r="79" spans="1:25" s="464" customFormat="1" ht="192" x14ac:dyDescent="0.25">
      <c r="A79" s="453">
        <v>69</v>
      </c>
      <c r="B79" s="471" t="s">
        <v>25</v>
      </c>
      <c r="C79" s="455" t="s">
        <v>26</v>
      </c>
      <c r="D79" s="456" t="s">
        <v>190</v>
      </c>
      <c r="E79" s="457" t="s">
        <v>2092</v>
      </c>
      <c r="F79" s="458">
        <v>1</v>
      </c>
      <c r="G79" s="459"/>
      <c r="H79" s="460" t="s">
        <v>2000</v>
      </c>
      <c r="I79" s="460" t="s">
        <v>2011</v>
      </c>
      <c r="J79" s="460" t="s">
        <v>1318</v>
      </c>
      <c r="K79" s="460" t="s">
        <v>220</v>
      </c>
      <c r="L79" s="460">
        <v>60005308</v>
      </c>
      <c r="M79" s="461">
        <v>45634</v>
      </c>
      <c r="N79" s="461">
        <v>45638</v>
      </c>
      <c r="O79" s="470" t="s">
        <v>2093</v>
      </c>
      <c r="P79" s="463" t="str">
        <f>IF(LEFT(B79,5)="09735",
    IF(ISNA(VLOOKUP(Tabla13[[#This Row],[Apoyo]],'LM SAP'!A:G,1,FALSE)),
        "No Disponible",
        IF(VLOOKUP(Tabla13[[#This Row],[Apoyo]],'LM SAP'!A:AD,9,FALSE)="RR",
            "Disponible",
            "Firmas SAP"
        )
    ),
    "CONSULTAR"
)</f>
        <v>No Disponible</v>
      </c>
      <c r="Q79" s="460" t="str">
        <f>MID(Tabla13[[#This Row],[Código Indra]],1,13)</f>
        <v>0973525190000</v>
      </c>
      <c r="R79" s="464" t="str">
        <f>IF(ISNA(VLOOKUP(Tabla13[[#This Row],[Código Indra]],#REF!,1,FALSE)),"NO", "SI")</f>
        <v>SI</v>
      </c>
      <c r="S79" s="460" t="str">
        <f>IF(ISNA(VLOOKUP(Tabla13[[#This Row],[Código Indra]],Tabla132[[Código INDRA]:[Nombre]],1,FALSE)),"NO", "SI")</f>
        <v>SI</v>
      </c>
      <c r="T79" s="465"/>
      <c r="U79" s="464" t="s">
        <v>227</v>
      </c>
      <c r="V79" s="464" t="e">
        <f>VLOOKUP(Tabla13[[#This Row],[Apoyo]],'LM SAP'!A:I,9,FALSE)</f>
        <v>#N/A</v>
      </c>
      <c r="W79" s="464" t="s">
        <v>234</v>
      </c>
      <c r="X79" s="466">
        <v>8</v>
      </c>
      <c r="Y79" s="464">
        <f>Tabla13[[#This Row],[ID]]</f>
        <v>69</v>
      </c>
    </row>
    <row r="80" spans="1:25" s="464" customFormat="1" ht="72" x14ac:dyDescent="0.25">
      <c r="A80" s="453">
        <v>70</v>
      </c>
      <c r="B80" s="480" t="s">
        <v>417</v>
      </c>
      <c r="C80" s="469" t="s">
        <v>418</v>
      </c>
      <c r="D80" s="481" t="s">
        <v>26</v>
      </c>
      <c r="E80" s="457" t="s">
        <v>2094</v>
      </c>
      <c r="F80" s="458">
        <v>1</v>
      </c>
      <c r="G80" s="459"/>
      <c r="H80" s="460"/>
      <c r="I80" s="460" t="s">
        <v>2011</v>
      </c>
      <c r="J80" s="460"/>
      <c r="K80" s="460" t="s">
        <v>1411</v>
      </c>
      <c r="L80" s="460">
        <v>60004985</v>
      </c>
      <c r="M80" s="461">
        <v>45611</v>
      </c>
      <c r="N80" s="461">
        <v>45670</v>
      </c>
      <c r="O80" s="476" t="s">
        <v>2095</v>
      </c>
      <c r="P80" s="463" t="str">
        <f>IF(LEFT(B80,5)="09735",
    IF(ISNA(VLOOKUP(Tabla13[[#This Row],[Apoyo]],'LM SAP'!A:G,1,FALSE)),
        "No Disponible",
        IF(VLOOKUP(Tabla13[[#This Row],[Apoyo]],'LM SAP'!A:AD,9,FALSE)="RR",
            "Disponible",
            "Firmas SAP"
        )
    ),
    "CONSULTAR"
)</f>
        <v>No Disponible</v>
      </c>
      <c r="Q80" s="460" t="str">
        <f>MID(Tabla13[[#This Row],[Código Indra]],1,13)</f>
        <v>0973525190100</v>
      </c>
      <c r="R80" s="464" t="str">
        <f>IF(ISNA(VLOOKUP(Tabla13[[#This Row],[Código Indra]],#REF!,1,FALSE)),"NO", "SI")</f>
        <v>SI</v>
      </c>
      <c r="S80" s="460" t="str">
        <f>IF(ISNA(VLOOKUP(Tabla13[[#This Row],[Código Indra]],Tabla132[[Código INDRA]:[Nombre]],1,FALSE)),"NO", "SI")</f>
        <v>SI</v>
      </c>
      <c r="T80" s="465" t="s">
        <v>2005</v>
      </c>
      <c r="U80" s="464" t="s">
        <v>256</v>
      </c>
      <c r="V80" s="464" t="e">
        <f>VLOOKUP(Tabla13[[#This Row],[Apoyo]],'LM SAP'!A:I,9,FALSE)</f>
        <v>#N/A</v>
      </c>
      <c r="W80" s="464" t="s">
        <v>234</v>
      </c>
      <c r="X80" s="466">
        <v>120</v>
      </c>
      <c r="Y80" s="464">
        <f>Tabla13[[#This Row],[ID]]</f>
        <v>70</v>
      </c>
    </row>
    <row r="81" spans="1:25" s="464" customFormat="1" ht="48" x14ac:dyDescent="0.25">
      <c r="A81" s="453">
        <v>71</v>
      </c>
      <c r="B81" s="454" t="s">
        <v>421</v>
      </c>
      <c r="C81" s="469" t="s">
        <v>422</v>
      </c>
      <c r="D81" s="456" t="s">
        <v>26</v>
      </c>
      <c r="E81" s="457" t="s">
        <v>2096</v>
      </c>
      <c r="F81" s="458">
        <v>1</v>
      </c>
      <c r="G81" s="459"/>
      <c r="H81" s="460"/>
      <c r="I81" s="460" t="s">
        <v>2011</v>
      </c>
      <c r="J81" s="460" t="s">
        <v>1318</v>
      </c>
      <c r="K81" s="460" t="s">
        <v>1411</v>
      </c>
      <c r="L81" s="460">
        <v>60005127</v>
      </c>
      <c r="M81" s="461">
        <v>45617</v>
      </c>
      <c r="N81" s="461">
        <v>45624</v>
      </c>
      <c r="O81" s="470" t="s">
        <v>2097</v>
      </c>
      <c r="P81" s="463" t="str">
        <f>IF(LEFT(B81,5)="09735",
    IF(ISNA(VLOOKUP(Tabla13[[#This Row],[Apoyo]],'LM SAP'!A:G,1,FALSE)),
        "No Disponible",
        IF(VLOOKUP(Tabla13[[#This Row],[Apoyo]],'LM SAP'!A:AD,9,FALSE)="RR",
            "Disponible",
            "Firmas SAP"
        )
    ),
    "CONSULTAR"
)</f>
        <v>No Disponible</v>
      </c>
      <c r="Q81" s="460" t="str">
        <f>MID(Tabla13[[#This Row],[Código Indra]],1,13)</f>
        <v>0973525190300</v>
      </c>
      <c r="R81" s="464" t="str">
        <f>IF(ISNA(VLOOKUP(Tabla13[[#This Row],[Código Indra]],#REF!,1,FALSE)),"NO", "SI")</f>
        <v>SI</v>
      </c>
      <c r="S81" s="460" t="str">
        <f>IF(ISNA(VLOOKUP(Tabla13[[#This Row],[Código Indra]],Tabla132[[Código INDRA]:[Nombre]],1,FALSE)),"NO", "SI")</f>
        <v>SI</v>
      </c>
      <c r="T81" s="465" t="s">
        <v>2005</v>
      </c>
      <c r="U81" s="464" t="s">
        <v>256</v>
      </c>
      <c r="V81" s="464" t="e">
        <f>VLOOKUP(Tabla13[[#This Row],[Apoyo]],'LM SAP'!A:I,9,FALSE)</f>
        <v>#N/A</v>
      </c>
      <c r="W81" s="464" t="s">
        <v>234</v>
      </c>
      <c r="X81" s="466">
        <v>160</v>
      </c>
      <c r="Y81" s="464">
        <f>Tabla13[[#This Row],[ID]]</f>
        <v>71</v>
      </c>
    </row>
    <row r="82" spans="1:25" s="464" customFormat="1" ht="24" x14ac:dyDescent="0.25">
      <c r="A82" s="453">
        <v>72</v>
      </c>
      <c r="B82" s="454" t="s">
        <v>967</v>
      </c>
      <c r="C82" s="469" t="s">
        <v>968</v>
      </c>
      <c r="D82" s="456" t="s">
        <v>422</v>
      </c>
      <c r="E82" s="457" t="s">
        <v>2098</v>
      </c>
      <c r="F82" s="458">
        <v>5</v>
      </c>
      <c r="G82" s="459"/>
      <c r="H82" s="460"/>
      <c r="I82" s="460" t="s">
        <v>276</v>
      </c>
      <c r="J82" s="460" t="s">
        <v>1318</v>
      </c>
      <c r="K82" s="460" t="s">
        <v>1411</v>
      </c>
      <c r="L82" s="460">
        <v>60004603</v>
      </c>
      <c r="M82" s="461">
        <v>45581</v>
      </c>
      <c r="N82" s="461">
        <v>45629</v>
      </c>
      <c r="O82" s="470" t="s">
        <v>281</v>
      </c>
      <c r="P82" s="463" t="str">
        <f>IF(LEFT(B82,5)="09735",
    IF(ISNA(VLOOKUP(Tabla13[[#This Row],[Apoyo]],'LM SAP'!A:G,1,FALSE)),
        "No Disponible",
        IF(VLOOKUP(Tabla13[[#This Row],[Apoyo]],'LM SAP'!A:AD,9,FALSE)="RR",
            "Disponible",
            "Firmas SAP"
        )
    ),
    "CONSULTAR"
)</f>
        <v>No Disponible</v>
      </c>
      <c r="Q82" s="460" t="str">
        <f>MID(Tabla13[[#This Row],[Código Indra]],1,13)</f>
        <v>0973530110000</v>
      </c>
      <c r="R82" s="464" t="str">
        <f>IF(ISNA(VLOOKUP(Tabla13[[#This Row],[Código Indra]],#REF!,1,FALSE)),"NO", "SI")</f>
        <v>SI</v>
      </c>
      <c r="S82" s="460" t="str">
        <f>IF(ISNA(VLOOKUP(Tabla13[[#This Row],[Código Indra]],Tabla132[[Código INDRA]:[Nombre]],1,FALSE)),"NO", "SI")</f>
        <v>SI</v>
      </c>
      <c r="T82" s="465" t="s">
        <v>2005</v>
      </c>
      <c r="U82" s="464" t="s">
        <v>256</v>
      </c>
      <c r="V82" s="464" t="e">
        <f>VLOOKUP(Tabla13[[#This Row],[Apoyo]],'LM SAP'!A:I,9,FALSE)</f>
        <v>#N/A</v>
      </c>
      <c r="W82" s="464" t="s">
        <v>234</v>
      </c>
      <c r="X82" s="466">
        <v>8</v>
      </c>
      <c r="Y82" s="464">
        <f>Tabla13[[#This Row],[ID]]</f>
        <v>72</v>
      </c>
    </row>
    <row r="83" spans="1:25" s="464" customFormat="1" ht="24" x14ac:dyDescent="0.25">
      <c r="A83" s="453">
        <v>73</v>
      </c>
      <c r="B83" s="454" t="s">
        <v>1059</v>
      </c>
      <c r="C83" s="469" t="s">
        <v>1060</v>
      </c>
      <c r="D83" s="456"/>
      <c r="E83" s="457" t="s">
        <v>700</v>
      </c>
      <c r="F83" s="458">
        <v>6</v>
      </c>
      <c r="G83" s="459"/>
      <c r="H83" s="460"/>
      <c r="I83" s="460"/>
      <c r="J83" s="460"/>
      <c r="K83" s="460" t="s">
        <v>1411</v>
      </c>
      <c r="L83" s="460">
        <v>60004839</v>
      </c>
      <c r="M83" s="461">
        <v>45607</v>
      </c>
      <c r="N83" s="461" t="s">
        <v>2099</v>
      </c>
      <c r="O83" s="494" t="s">
        <v>2100</v>
      </c>
      <c r="P83" s="463" t="str">
        <f>IF(LEFT(B83,5)="09735",
    IF(ISNA(VLOOKUP(Tabla13[[#This Row],[Apoyo]],'LM SAP'!A:G,1,FALSE)),
        "No Disponible",
        IF(VLOOKUP(Tabla13[[#This Row],[Apoyo]],'LM SAP'!A:AD,9,FALSE)="RR",
            "Disponible",
            "Firmas SAP"
        )
    ),
    "CONSULTAR"
)</f>
        <v>CONSULTAR</v>
      </c>
      <c r="Q83" s="460" t="str">
        <f>MID(Tabla13[[#This Row],[Código Indra]],1,13)</f>
        <v>0915437020000</v>
      </c>
      <c r="R83" s="464" t="str">
        <f>IF(ISNA(VLOOKUP(Tabla13[[#This Row],[Código Indra]],#REF!,1,FALSE)),"NO", "SI")</f>
        <v>SI</v>
      </c>
      <c r="S83" s="460" t="str">
        <f>IF(ISNA(VLOOKUP(Tabla13[[#This Row],[Código Indra]],Tabla132[[Código INDRA]:[Nombre]],1,FALSE)),"NO", "SI")</f>
        <v>NO</v>
      </c>
      <c r="T83" s="465" t="s">
        <v>2005</v>
      </c>
      <c r="U83" s="464" t="s">
        <v>256</v>
      </c>
      <c r="V83" s="464" t="e">
        <f>VLOOKUP(Tabla13[[#This Row],[Apoyo]],'LM SAP'!A:I,9,FALSE)</f>
        <v>#N/A</v>
      </c>
      <c r="X83" s="466"/>
      <c r="Y83" s="464">
        <f>Tabla13[[#This Row],[ID]]</f>
        <v>73</v>
      </c>
    </row>
    <row r="84" spans="1:25" s="464" customFormat="1" ht="36" x14ac:dyDescent="0.25">
      <c r="A84" s="453">
        <v>74</v>
      </c>
      <c r="B84" s="454" t="s">
        <v>611</v>
      </c>
      <c r="C84" s="469" t="s">
        <v>612</v>
      </c>
      <c r="D84" s="456" t="s">
        <v>422</v>
      </c>
      <c r="E84" s="457" t="s">
        <v>2101</v>
      </c>
      <c r="F84" s="458">
        <v>1</v>
      </c>
      <c r="G84" s="459" t="s">
        <v>260</v>
      </c>
      <c r="H84" s="460"/>
      <c r="I84" s="460" t="s">
        <v>251</v>
      </c>
      <c r="J84" s="460" t="s">
        <v>1318</v>
      </c>
      <c r="K84" s="460" t="s">
        <v>220</v>
      </c>
      <c r="L84" s="460">
        <v>60005427</v>
      </c>
      <c r="M84" s="461">
        <v>45643</v>
      </c>
      <c r="N84" s="461">
        <v>45698</v>
      </c>
      <c r="O84" s="470" t="s">
        <v>2102</v>
      </c>
      <c r="P84" s="463" t="str">
        <f>IF(LEFT(B84,5)="09735",
    IF(ISNA(VLOOKUP(Tabla13[[#This Row],[Apoyo]],'LM SAP'!A:G,1,FALSE)),
        "No Disponible",
        IF(VLOOKUP(Tabla13[[#This Row],[Apoyo]],'LM SAP'!A:AD,9,FALSE)="RR",
            "Disponible",
            "Firmas SAP"
        )
    ),
    "CONSULTAR"
)</f>
        <v>Disponible</v>
      </c>
      <c r="Q84" s="460" t="str">
        <f>MID(Tabla13[[#This Row],[Código Indra]],1,13)</f>
        <v>0973525190600</v>
      </c>
      <c r="R84" s="464" t="str">
        <f>IF(ISNA(VLOOKUP(Tabla13[[#This Row],[Código Indra]],#REF!,1,FALSE)),"NO", "SI")</f>
        <v>SI</v>
      </c>
      <c r="S84" s="460" t="str">
        <f>IF(ISNA(VLOOKUP(Tabla13[[#This Row],[Código Indra]],Tabla132[[Código INDRA]:[Nombre]],1,FALSE)),"NO", "SI")</f>
        <v>SI</v>
      </c>
      <c r="T84" s="465" t="s">
        <v>2005</v>
      </c>
      <c r="U84" s="464" t="s">
        <v>256</v>
      </c>
      <c r="V84" s="464" t="str">
        <f>VLOOKUP(Tabla13[[#This Row],[Apoyo]],'LM SAP'!A:I,9,FALSE)</f>
        <v>RR</v>
      </c>
      <c r="W84" s="464" t="s">
        <v>234</v>
      </c>
      <c r="X84" s="466">
        <v>2</v>
      </c>
      <c r="Y84" s="464">
        <f>Tabla13[[#This Row],[ID]]</f>
        <v>74</v>
      </c>
    </row>
    <row r="85" spans="1:25" s="464" customFormat="1" ht="24" x14ac:dyDescent="0.25">
      <c r="A85" s="453">
        <v>75</v>
      </c>
      <c r="B85" s="454" t="s">
        <v>425</v>
      </c>
      <c r="C85" s="469" t="s">
        <v>426</v>
      </c>
      <c r="D85" s="456" t="s">
        <v>26</v>
      </c>
      <c r="E85" s="457" t="s">
        <v>685</v>
      </c>
      <c r="F85" s="458">
        <v>1</v>
      </c>
      <c r="G85" s="459"/>
      <c r="H85" s="460"/>
      <c r="I85" s="460" t="s">
        <v>2011</v>
      </c>
      <c r="J85" s="460" t="s">
        <v>1318</v>
      </c>
      <c r="K85" s="460" t="s">
        <v>1411</v>
      </c>
      <c r="L85" s="460">
        <v>60004736</v>
      </c>
      <c r="M85" s="461">
        <v>45607</v>
      </c>
      <c r="N85" s="461">
        <v>45610</v>
      </c>
      <c r="O85" s="470" t="s">
        <v>2097</v>
      </c>
      <c r="P85" s="463" t="str">
        <f>IF(LEFT(B85,5)="09735",
    IF(ISNA(VLOOKUP(Tabla13[[#This Row],[Apoyo]],'LM SAP'!A:G,1,FALSE)),
        "No Disponible",
        IF(VLOOKUP(Tabla13[[#This Row],[Apoyo]],'LM SAP'!A:AD,9,FALSE)="RR",
            "Disponible",
            "Firmas SAP"
        )
    ),
    "CONSULTAR"
)</f>
        <v>No Disponible</v>
      </c>
      <c r="Q85" s="460" t="str">
        <f>MID(Tabla13[[#This Row],[Código Indra]],1,13)</f>
        <v>0973525191400</v>
      </c>
      <c r="R85" s="464" t="str">
        <f>IF(ISNA(VLOOKUP(Tabla13[[#This Row],[Código Indra]],#REF!,1,FALSE)),"NO", "SI")</f>
        <v>SI</v>
      </c>
      <c r="S85" s="460" t="str">
        <f>IF(ISNA(VLOOKUP(Tabla13[[#This Row],[Código Indra]],Tabla132[[Código INDRA]:[Nombre]],1,FALSE)),"NO", "SI")</f>
        <v>SI</v>
      </c>
      <c r="T85" s="465" t="s">
        <v>2005</v>
      </c>
      <c r="U85" s="464" t="s">
        <v>256</v>
      </c>
      <c r="V85" s="464" t="e">
        <f>VLOOKUP(Tabla13[[#This Row],[Apoyo]],'LM SAP'!A:I,9,FALSE)</f>
        <v>#N/A</v>
      </c>
      <c r="W85" s="464" t="s">
        <v>234</v>
      </c>
      <c r="X85" s="466">
        <v>160</v>
      </c>
      <c r="Y85" s="464">
        <f>Tabla13[[#This Row],[ID]]</f>
        <v>75</v>
      </c>
    </row>
    <row r="86" spans="1:25" s="464" customFormat="1" ht="24" x14ac:dyDescent="0.25">
      <c r="A86" s="453">
        <v>76</v>
      </c>
      <c r="B86" s="480" t="s">
        <v>970</v>
      </c>
      <c r="C86" s="469" t="s">
        <v>971</v>
      </c>
      <c r="D86" s="456" t="s">
        <v>426</v>
      </c>
      <c r="E86" s="457" t="s">
        <v>2103</v>
      </c>
      <c r="F86" s="458">
        <v>5</v>
      </c>
      <c r="G86" s="459"/>
      <c r="H86" s="460"/>
      <c r="I86" s="460" t="s">
        <v>276</v>
      </c>
      <c r="J86" s="460" t="s">
        <v>1318</v>
      </c>
      <c r="K86" s="460" t="s">
        <v>1411</v>
      </c>
      <c r="L86" s="460">
        <v>60004604</v>
      </c>
      <c r="M86" s="461">
        <v>45581</v>
      </c>
      <c r="N86" s="461">
        <v>45635</v>
      </c>
      <c r="O86" s="470" t="s">
        <v>281</v>
      </c>
      <c r="P86" s="463" t="str">
        <f>IF(LEFT(B86,5)="09735",
    IF(ISNA(VLOOKUP(Tabla13[[#This Row],[Apoyo]],'LM SAP'!A:G,1,FALSE)),
        "No Disponible",
        IF(VLOOKUP(Tabla13[[#This Row],[Apoyo]],'LM SAP'!A:AD,9,FALSE)="RR",
            "Disponible",
            "Firmas SAP"
        )
    ),
    "CONSULTAR"
)</f>
        <v>No Disponible</v>
      </c>
      <c r="Q86" s="460" t="str">
        <f>MID(Tabla13[[#This Row],[Código Indra]],1,13)</f>
        <v>0973530111000</v>
      </c>
      <c r="R86" s="464" t="str">
        <f>IF(ISNA(VLOOKUP(Tabla13[[#This Row],[Código Indra]],#REF!,1,FALSE)),"NO", "SI")</f>
        <v>SI</v>
      </c>
      <c r="S86" s="460" t="str">
        <f>IF(ISNA(VLOOKUP(Tabla13[[#This Row],[Código Indra]],Tabla132[[Código INDRA]:[Nombre]],1,FALSE)),"NO", "SI")</f>
        <v>SI</v>
      </c>
      <c r="T86" s="465" t="s">
        <v>2005</v>
      </c>
      <c r="U86" s="464" t="s">
        <v>256</v>
      </c>
      <c r="V86" s="464" t="e">
        <f>VLOOKUP(Tabla13[[#This Row],[Apoyo]],'LM SAP'!A:I,9,FALSE)</f>
        <v>#N/A</v>
      </c>
      <c r="W86" s="464" t="s">
        <v>234</v>
      </c>
      <c r="X86" s="466">
        <v>8</v>
      </c>
      <c r="Y86" s="464">
        <f>Tabla13[[#This Row],[ID]]</f>
        <v>76</v>
      </c>
    </row>
    <row r="87" spans="1:25" s="464" customFormat="1" ht="24" x14ac:dyDescent="0.25">
      <c r="A87" s="453">
        <v>77</v>
      </c>
      <c r="B87" s="454" t="s">
        <v>976</v>
      </c>
      <c r="C87" s="469" t="s">
        <v>977</v>
      </c>
      <c r="D87" s="456" t="s">
        <v>426</v>
      </c>
      <c r="E87" s="457" t="s">
        <v>2104</v>
      </c>
      <c r="F87" s="458">
        <v>5</v>
      </c>
      <c r="G87" s="459"/>
      <c r="H87" s="460"/>
      <c r="I87" s="460" t="s">
        <v>276</v>
      </c>
      <c r="J87" s="460" t="s">
        <v>1318</v>
      </c>
      <c r="K87" s="460" t="s">
        <v>1411</v>
      </c>
      <c r="L87" s="460">
        <v>60004606</v>
      </c>
      <c r="M87" s="461">
        <v>45581</v>
      </c>
      <c r="N87" s="461">
        <v>45635</v>
      </c>
      <c r="O87" s="470" t="s">
        <v>281</v>
      </c>
      <c r="P87" s="463" t="str">
        <f>IF(LEFT(B87,5)="09735",
    IF(ISNA(VLOOKUP(Tabla13[[#This Row],[Apoyo]],'LM SAP'!A:G,1,FALSE)),
        "No Disponible",
        IF(VLOOKUP(Tabla13[[#This Row],[Apoyo]],'LM SAP'!A:AD,9,FALSE)="RR",
            "Disponible",
            "Firmas SAP"
        )
    ),
    "CONSULTAR"
)</f>
        <v>No Disponible</v>
      </c>
      <c r="Q87" s="460" t="str">
        <f>MID(Tabla13[[#This Row],[Código Indra]],1,13)</f>
        <v>0973530114000</v>
      </c>
      <c r="R87" s="464" t="str">
        <f>IF(ISNA(VLOOKUP(Tabla13[[#This Row],[Código Indra]],#REF!,1,FALSE)),"NO", "SI")</f>
        <v>SI</v>
      </c>
      <c r="S87" s="460" t="str">
        <f>IF(ISNA(VLOOKUP(Tabla13[[#This Row],[Código Indra]],Tabla132[[Código INDRA]:[Nombre]],1,FALSE)),"NO", "SI")</f>
        <v>SI</v>
      </c>
      <c r="T87" s="465" t="s">
        <v>2005</v>
      </c>
      <c r="U87" s="464" t="s">
        <v>256</v>
      </c>
      <c r="V87" s="464" t="e">
        <f>VLOOKUP(Tabla13[[#This Row],[Apoyo]],'LM SAP'!A:I,9,FALSE)</f>
        <v>#N/A</v>
      </c>
      <c r="W87" s="464" t="s">
        <v>234</v>
      </c>
      <c r="X87" s="466">
        <v>8</v>
      </c>
      <c r="Y87" s="464">
        <f>Tabla13[[#This Row],[ID]]</f>
        <v>77</v>
      </c>
    </row>
    <row r="88" spans="1:25" s="493" customFormat="1" ht="24" x14ac:dyDescent="0.25">
      <c r="A88" s="453">
        <v>78</v>
      </c>
      <c r="B88" s="454" t="s">
        <v>430</v>
      </c>
      <c r="C88" s="469" t="s">
        <v>431</v>
      </c>
      <c r="D88" s="456" t="s">
        <v>26</v>
      </c>
      <c r="E88" s="457" t="s">
        <v>685</v>
      </c>
      <c r="F88" s="458">
        <v>1</v>
      </c>
      <c r="G88" s="459"/>
      <c r="H88" s="460"/>
      <c r="I88" s="460" t="s">
        <v>276</v>
      </c>
      <c r="J88" s="460" t="s">
        <v>1318</v>
      </c>
      <c r="K88" s="460" t="s">
        <v>1411</v>
      </c>
      <c r="L88" s="460">
        <v>60004833</v>
      </c>
      <c r="M88" s="461">
        <v>45600</v>
      </c>
      <c r="N88" s="461">
        <v>45638</v>
      </c>
      <c r="O88" s="470" t="s">
        <v>2097</v>
      </c>
      <c r="P88" s="463" t="str">
        <f>IF(LEFT(B88,5)="09735",
    IF(ISNA(VLOOKUP(Tabla13[[#This Row],[Apoyo]],'LM SAP'!A:G,1,FALSE)),
        "No Disponible",
        IF(VLOOKUP(Tabla13[[#This Row],[Apoyo]],'LM SAP'!A:AD,9,FALSE)="RR",
            "Disponible",
            "Firmas SAP"
        )
    ),
    "CONSULTAR"
)</f>
        <v>No Disponible</v>
      </c>
      <c r="Q88" s="460" t="str">
        <f>MID(Tabla13[[#This Row],[Código Indra]],1,13)</f>
        <v>0973525191500</v>
      </c>
      <c r="R88" s="464" t="str">
        <f>IF(ISNA(VLOOKUP(Tabla13[[#This Row],[Código Indra]],#REF!,1,FALSE)),"NO", "SI")</f>
        <v>SI</v>
      </c>
      <c r="S88" s="460" t="str">
        <f>IF(ISNA(VLOOKUP(Tabla13[[#This Row],[Código Indra]],Tabla132[[Código INDRA]:[Nombre]],1,FALSE)),"NO", "SI")</f>
        <v>SI</v>
      </c>
      <c r="T88" s="465" t="s">
        <v>2005</v>
      </c>
      <c r="U88" s="464" t="s">
        <v>256</v>
      </c>
      <c r="V88" s="464" t="e">
        <f>VLOOKUP(Tabla13[[#This Row],[Apoyo]],'LM SAP'!A:I,9,FALSE)</f>
        <v>#N/A</v>
      </c>
      <c r="W88" s="464" t="s">
        <v>234</v>
      </c>
      <c r="X88" s="466">
        <v>160</v>
      </c>
      <c r="Y88" s="464">
        <f>Tabla13[[#This Row],[ID]]</f>
        <v>78</v>
      </c>
    </row>
    <row r="89" spans="1:25" s="464" customFormat="1" ht="24" x14ac:dyDescent="0.25">
      <c r="A89" s="453">
        <v>79</v>
      </c>
      <c r="B89" s="454">
        <v>973530112000</v>
      </c>
      <c r="C89" s="469" t="s">
        <v>974</v>
      </c>
      <c r="D89" s="456" t="s">
        <v>431</v>
      </c>
      <c r="E89" s="457" t="s">
        <v>2105</v>
      </c>
      <c r="F89" s="458">
        <v>5</v>
      </c>
      <c r="G89" s="459"/>
      <c r="H89" s="460"/>
      <c r="I89" s="460" t="s">
        <v>276</v>
      </c>
      <c r="J89" s="460" t="s">
        <v>1318</v>
      </c>
      <c r="K89" s="460" t="s">
        <v>1411</v>
      </c>
      <c r="L89" s="460">
        <v>60004605</v>
      </c>
      <c r="M89" s="461">
        <v>45581</v>
      </c>
      <c r="N89" s="461">
        <v>45635</v>
      </c>
      <c r="O89" s="470" t="s">
        <v>281</v>
      </c>
      <c r="P89" s="463" t="str">
        <f>IF(LEFT(B89,5)="09735",
    IF(ISNA(VLOOKUP(Tabla13[[#This Row],[Apoyo]],'LM SAP'!A:G,1,FALSE)),
        "No Disponible",
        IF(VLOOKUP(Tabla13[[#This Row],[Apoyo]],'LM SAP'!A:AD,9,FALSE)="RR",
            "Disponible",
            "Firmas SAP"
        )
    ),
    "CONSULTAR"
)</f>
        <v>CONSULTAR</v>
      </c>
      <c r="Q89" s="460" t="str">
        <f>MID(Tabla13[[#This Row],[Código Indra]],1,13)</f>
        <v>973530112000</v>
      </c>
      <c r="R89" s="464" t="str">
        <f>IF(ISNA(VLOOKUP(Tabla13[[#This Row],[Código Indra]],#REF!,1,FALSE)),"NO", "SI")</f>
        <v>SI</v>
      </c>
      <c r="S89" s="460" t="str">
        <f>IF(ISNA(VLOOKUP(Tabla13[[#This Row],[Código Indra]],Tabla132[[Código INDRA]:[Nombre]],1,FALSE)),"NO", "SI")</f>
        <v>NO</v>
      </c>
      <c r="T89" s="465" t="s">
        <v>2005</v>
      </c>
      <c r="U89" s="464" t="s">
        <v>256</v>
      </c>
      <c r="V89" s="464" t="e">
        <f>VLOOKUP(Tabla13[[#This Row],[Apoyo]],'LM SAP'!A:I,9,FALSE)</f>
        <v>#N/A</v>
      </c>
      <c r="W89" s="464" t="s">
        <v>234</v>
      </c>
      <c r="X89" s="466">
        <v>8</v>
      </c>
      <c r="Y89" s="464">
        <f>Tabla13[[#This Row],[ID]]</f>
        <v>79</v>
      </c>
    </row>
    <row r="90" spans="1:25" s="464" customFormat="1" ht="48" x14ac:dyDescent="0.25">
      <c r="A90" s="453">
        <v>80</v>
      </c>
      <c r="B90" s="480" t="s">
        <v>56</v>
      </c>
      <c r="C90" s="455" t="s">
        <v>57</v>
      </c>
      <c r="D90" s="456" t="s">
        <v>26</v>
      </c>
      <c r="E90" s="457" t="s">
        <v>641</v>
      </c>
      <c r="F90" s="458">
        <v>1</v>
      </c>
      <c r="G90" s="459"/>
      <c r="H90" s="460" t="s">
        <v>2000</v>
      </c>
      <c r="I90" s="460" t="s">
        <v>276</v>
      </c>
      <c r="J90" s="460"/>
      <c r="K90" s="460" t="s">
        <v>220</v>
      </c>
      <c r="L90" s="460">
        <v>60005315</v>
      </c>
      <c r="M90" s="461">
        <v>45671</v>
      </c>
      <c r="N90" s="461">
        <v>45671</v>
      </c>
      <c r="O90" s="467" t="s">
        <v>2106</v>
      </c>
      <c r="P90" s="463" t="str">
        <f>IF(LEFT(B90,5)="09735",
    IF(ISNA(VLOOKUP(Tabla13[[#This Row],[Apoyo]],'LM SAP'!A:G,1,FALSE)),
        "No Disponible",
        IF(VLOOKUP(Tabla13[[#This Row],[Apoyo]],'LM SAP'!A:AD,9,FALSE)="RR",
            "Disponible",
            "Firmas SAP"
        )
    ),
    "CONSULTAR"
)</f>
        <v>No Disponible</v>
      </c>
      <c r="Q90" s="460" t="str">
        <f>MID(Tabla13[[#This Row],[Código Indra]],1,13)</f>
        <v>0973524190000</v>
      </c>
      <c r="R90" s="464" t="str">
        <f>IF(ISNA(VLOOKUP(Tabla13[[#This Row],[Código Indra]],#REF!,1,FALSE)),"NO", "SI")</f>
        <v>SI</v>
      </c>
      <c r="S90" s="460" t="str">
        <f>IF(ISNA(VLOOKUP(Tabla13[[#This Row],[Código Indra]],Tabla132[[Código INDRA]:[Nombre]],1,FALSE)),"NO", "SI")</f>
        <v>SI</v>
      </c>
      <c r="T90" s="465"/>
      <c r="U90" s="464" t="s">
        <v>227</v>
      </c>
      <c r="V90" s="464" t="e">
        <f>VLOOKUP(Tabla13[[#This Row],[Apoyo]],'LM SAP'!A:I,9,FALSE)</f>
        <v>#N/A</v>
      </c>
      <c r="W90" s="464" t="s">
        <v>234</v>
      </c>
      <c r="X90" s="466">
        <v>16</v>
      </c>
      <c r="Y90" s="464">
        <f>Tabla13[[#This Row],[ID]]</f>
        <v>80</v>
      </c>
    </row>
    <row r="91" spans="1:25" s="464" customFormat="1" ht="60" x14ac:dyDescent="0.25">
      <c r="A91" s="453">
        <v>81</v>
      </c>
      <c r="B91" s="480" t="s">
        <v>1267</v>
      </c>
      <c r="C91" s="469" t="s">
        <v>1268</v>
      </c>
      <c r="D91" s="469" t="s">
        <v>57</v>
      </c>
      <c r="E91" s="457" t="s">
        <v>1270</v>
      </c>
      <c r="F91" s="458">
        <v>1</v>
      </c>
      <c r="G91" s="459"/>
      <c r="H91" s="495"/>
      <c r="I91" s="460" t="s">
        <v>276</v>
      </c>
      <c r="J91" s="460"/>
      <c r="K91" s="460" t="s">
        <v>1411</v>
      </c>
      <c r="L91" s="460">
        <v>60005119</v>
      </c>
      <c r="M91" s="461">
        <v>45617</v>
      </c>
      <c r="N91" s="461">
        <v>45624</v>
      </c>
      <c r="O91" s="470" t="s">
        <v>2107</v>
      </c>
      <c r="P91" s="463" t="str">
        <f>IF(LEFT(B91,5)="09735",
    IF(ISNA(VLOOKUP(Tabla13[[#This Row],[Apoyo]],'LM SAP'!A:G,1,FALSE)),
        "No Disponible",
        IF(VLOOKUP(Tabla13[[#This Row],[Apoyo]],'LM SAP'!A:AD,9,FALSE)="RR",
            "Disponible",
            "Firmas SAP"
        )
    ),
    "CONSULTAR"
)</f>
        <v>No Disponible</v>
      </c>
      <c r="Q91" s="460" t="str">
        <f>MID(Tabla13[[#This Row],[Código Indra]],1,13)</f>
        <v>0973544190100</v>
      </c>
      <c r="R91" s="464" t="str">
        <f>IF(ISNA(VLOOKUP(Tabla13[[#This Row],[Código Indra]],#REF!,1,FALSE)),"NO", "SI")</f>
        <v>SI</v>
      </c>
      <c r="S91" s="460" t="str">
        <f>IF(ISNA(VLOOKUP(Tabla13[[#This Row],[Código Indra]],Tabla132[[Código INDRA]:[Nombre]],1,FALSE)),"NO", "SI")</f>
        <v>SI</v>
      </c>
      <c r="T91" s="465" t="s">
        <v>2005</v>
      </c>
      <c r="U91" s="464" t="s">
        <v>256</v>
      </c>
      <c r="V91" s="464" t="e">
        <f>VLOOKUP(Tabla13[[#This Row],[Apoyo]],'LM SAP'!A:I,9,FALSE)</f>
        <v>#N/A</v>
      </c>
      <c r="W91" s="464" t="s">
        <v>234</v>
      </c>
      <c r="X91" s="466">
        <v>0</v>
      </c>
      <c r="Y91" s="464">
        <f>Tabla13[[#This Row],[ID]]</f>
        <v>81</v>
      </c>
    </row>
    <row r="92" spans="1:25" s="493" customFormat="1" ht="60" x14ac:dyDescent="0.25">
      <c r="A92" s="453">
        <v>82</v>
      </c>
      <c r="B92" s="480" t="s">
        <v>1272</v>
      </c>
      <c r="C92" s="469" t="s">
        <v>1273</v>
      </c>
      <c r="D92" s="469" t="s">
        <v>57</v>
      </c>
      <c r="E92" s="457" t="s">
        <v>1274</v>
      </c>
      <c r="F92" s="458">
        <v>1</v>
      </c>
      <c r="G92" s="459"/>
      <c r="H92" s="495"/>
      <c r="I92" s="460" t="s">
        <v>276</v>
      </c>
      <c r="J92" s="460"/>
      <c r="K92" s="460" t="s">
        <v>1411</v>
      </c>
      <c r="L92" s="460">
        <v>60005120</v>
      </c>
      <c r="M92" s="461">
        <v>45617</v>
      </c>
      <c r="N92" s="461">
        <v>45624</v>
      </c>
      <c r="O92" s="494" t="s">
        <v>2108</v>
      </c>
      <c r="P92" s="463" t="str">
        <f>IF(LEFT(B92,5)="09735",
    IF(ISNA(VLOOKUP(Tabla13[[#This Row],[Apoyo]],'LM SAP'!A:G,1,FALSE)),
        "No Disponible",
        IF(VLOOKUP(Tabla13[[#This Row],[Apoyo]],'LM SAP'!A:AD,9,FALSE)="RR",
            "Disponible",
            "Firmas SAP"
        )
    ),
    "CONSULTAR"
)</f>
        <v>No Disponible</v>
      </c>
      <c r="Q92" s="460" t="str">
        <f>MID(Tabla13[[#This Row],[Código Indra]],1,13)</f>
        <v>0973544190200</v>
      </c>
      <c r="R92" s="464" t="str">
        <f>IF(ISNA(VLOOKUP(Tabla13[[#This Row],[Código Indra]],#REF!,1,FALSE)),"NO", "SI")</f>
        <v>SI</v>
      </c>
      <c r="S92" s="460" t="str">
        <f>IF(ISNA(VLOOKUP(Tabla13[[#This Row],[Código Indra]],Tabla132[[Código INDRA]:[Nombre]],1,FALSE)),"NO", "SI")</f>
        <v>SI</v>
      </c>
      <c r="T92" s="465" t="s">
        <v>2005</v>
      </c>
      <c r="U92" s="464" t="s">
        <v>256</v>
      </c>
      <c r="V92" s="464" t="e">
        <f>VLOOKUP(Tabla13[[#This Row],[Apoyo]],'LM SAP'!A:I,9,FALSE)</f>
        <v>#N/A</v>
      </c>
      <c r="W92" s="464" t="s">
        <v>234</v>
      </c>
      <c r="X92" s="466">
        <v>0</v>
      </c>
      <c r="Y92" s="464">
        <f>Tabla13[[#This Row],[ID]]</f>
        <v>82</v>
      </c>
    </row>
    <row r="93" spans="1:25" s="464" customFormat="1" ht="60" x14ac:dyDescent="0.25">
      <c r="A93" s="453">
        <v>83</v>
      </c>
      <c r="B93" s="480" t="s">
        <v>1275</v>
      </c>
      <c r="C93" s="469" t="s">
        <v>1276</v>
      </c>
      <c r="D93" s="469" t="s">
        <v>57</v>
      </c>
      <c r="E93" s="457" t="s">
        <v>1277</v>
      </c>
      <c r="F93" s="458">
        <v>1</v>
      </c>
      <c r="G93" s="459"/>
      <c r="H93" s="495"/>
      <c r="I93" s="460" t="s">
        <v>276</v>
      </c>
      <c r="J93" s="460"/>
      <c r="K93" s="460" t="s">
        <v>1411</v>
      </c>
      <c r="L93" s="460">
        <v>60005121</v>
      </c>
      <c r="M93" s="461">
        <v>45617</v>
      </c>
      <c r="N93" s="461">
        <v>45624</v>
      </c>
      <c r="O93" s="470" t="s">
        <v>2109</v>
      </c>
      <c r="P93" s="463" t="str">
        <f>IF(LEFT(B93,5)="09735",
    IF(ISNA(VLOOKUP(Tabla13[[#This Row],[Apoyo]],'LM SAP'!A:G,1,FALSE)),
        "No Disponible",
        IF(VLOOKUP(Tabla13[[#This Row],[Apoyo]],'LM SAP'!A:AD,9,FALSE)="RR",
            "Disponible",
            "Firmas SAP"
        )
    ),
    "CONSULTAR"
)</f>
        <v>No Disponible</v>
      </c>
      <c r="Q93" s="460" t="str">
        <f>MID(Tabla13[[#This Row],[Código Indra]],1,13)</f>
        <v>0973544190300</v>
      </c>
      <c r="R93" s="464" t="str">
        <f>IF(ISNA(VLOOKUP(Tabla13[[#This Row],[Código Indra]],#REF!,1,FALSE)),"NO", "SI")</f>
        <v>SI</v>
      </c>
      <c r="S93" s="460" t="str">
        <f>IF(ISNA(VLOOKUP(Tabla13[[#This Row],[Código Indra]],Tabla132[[Código INDRA]:[Nombre]],1,FALSE)),"NO", "SI")</f>
        <v>SI</v>
      </c>
      <c r="T93" s="465" t="s">
        <v>2005</v>
      </c>
      <c r="U93" s="464" t="s">
        <v>256</v>
      </c>
      <c r="V93" s="464" t="e">
        <f>VLOOKUP(Tabla13[[#This Row],[Apoyo]],'LM SAP'!A:I,9,FALSE)</f>
        <v>#N/A</v>
      </c>
      <c r="W93" s="464" t="s">
        <v>234</v>
      </c>
      <c r="X93" s="466">
        <v>0</v>
      </c>
      <c r="Y93" s="464">
        <f>Tabla13[[#This Row],[ID]]</f>
        <v>83</v>
      </c>
    </row>
    <row r="94" spans="1:25" s="464" customFormat="1" ht="60" x14ac:dyDescent="0.25">
      <c r="A94" s="453">
        <v>84</v>
      </c>
      <c r="B94" s="480" t="s">
        <v>1278</v>
      </c>
      <c r="C94" s="469" t="s">
        <v>1279</v>
      </c>
      <c r="D94" s="469" t="s">
        <v>57</v>
      </c>
      <c r="E94" s="457" t="s">
        <v>1280</v>
      </c>
      <c r="F94" s="458">
        <v>1</v>
      </c>
      <c r="G94" s="459"/>
      <c r="H94" s="495"/>
      <c r="I94" s="460" t="s">
        <v>276</v>
      </c>
      <c r="J94" s="460"/>
      <c r="K94" s="460" t="s">
        <v>1411</v>
      </c>
      <c r="L94" s="460">
        <v>60005122</v>
      </c>
      <c r="M94" s="461">
        <v>45617</v>
      </c>
      <c r="N94" s="461">
        <v>45624</v>
      </c>
      <c r="O94" s="470" t="s">
        <v>2109</v>
      </c>
      <c r="P94" s="463" t="str">
        <f>IF(LEFT(B94,5)="09735",
    IF(ISNA(VLOOKUP(Tabla13[[#This Row],[Apoyo]],'LM SAP'!A:G,1,FALSE)),
        "No Disponible",
        IF(VLOOKUP(Tabla13[[#This Row],[Apoyo]],'LM SAP'!A:AD,9,FALSE)="RR",
            "Disponible",
            "Firmas SAP"
        )
    ),
    "CONSULTAR"
)</f>
        <v>No Disponible</v>
      </c>
      <c r="Q94" s="460" t="str">
        <f>MID(Tabla13[[#This Row],[Código Indra]],1,13)</f>
        <v>0973544190400</v>
      </c>
      <c r="R94" s="464" t="str">
        <f>IF(ISNA(VLOOKUP(Tabla13[[#This Row],[Código Indra]],#REF!,1,FALSE)),"NO", "SI")</f>
        <v>SI</v>
      </c>
      <c r="S94" s="460" t="str">
        <f>IF(ISNA(VLOOKUP(Tabla13[[#This Row],[Código Indra]],Tabla132[[Código INDRA]:[Nombre]],1,FALSE)),"NO", "SI")</f>
        <v>SI</v>
      </c>
      <c r="T94" s="465" t="s">
        <v>2005</v>
      </c>
      <c r="U94" s="464" t="s">
        <v>256</v>
      </c>
      <c r="V94" s="464" t="e">
        <f>VLOOKUP(Tabla13[[#This Row],[Apoyo]],'LM SAP'!A:I,9,FALSE)</f>
        <v>#N/A</v>
      </c>
      <c r="W94" s="464" t="s">
        <v>234</v>
      </c>
      <c r="X94" s="466">
        <v>0</v>
      </c>
      <c r="Y94" s="464">
        <f>Tabla13[[#This Row],[ID]]</f>
        <v>84</v>
      </c>
    </row>
    <row r="95" spans="1:25" s="464" customFormat="1" ht="36" x14ac:dyDescent="0.25">
      <c r="A95" s="453">
        <v>85</v>
      </c>
      <c r="B95" s="480" t="s">
        <v>1311</v>
      </c>
      <c r="C95" s="469" t="s">
        <v>1312</v>
      </c>
      <c r="D95" s="469" t="s">
        <v>57</v>
      </c>
      <c r="E95" s="457" t="s">
        <v>1313</v>
      </c>
      <c r="F95" s="458">
        <v>1</v>
      </c>
      <c r="G95" s="459"/>
      <c r="H95" s="495"/>
      <c r="I95" s="460" t="s">
        <v>276</v>
      </c>
      <c r="J95" s="460"/>
      <c r="K95" s="460" t="s">
        <v>1411</v>
      </c>
      <c r="L95" s="460">
        <v>60005124</v>
      </c>
      <c r="M95" s="461">
        <v>45617</v>
      </c>
      <c r="N95" s="461">
        <v>45638</v>
      </c>
      <c r="O95" s="470" t="s">
        <v>2110</v>
      </c>
      <c r="P95" s="463" t="str">
        <f>IF(LEFT(B95,5)="09735",
    IF(ISNA(VLOOKUP(Tabla13[[#This Row],[Apoyo]],'LM SAP'!A:G,1,FALSE)),
        "No Disponible",
        IF(VLOOKUP(Tabla13[[#This Row],[Apoyo]],'LM SAP'!A:AD,9,FALSE)="RR",
            "Disponible",
            "Firmas SAP"
        )
    ),
    "CONSULTAR"
)</f>
        <v>No Disponible</v>
      </c>
      <c r="Q95" s="460" t="str">
        <f>MID(Tabla13[[#This Row],[Código Indra]],1,13)</f>
        <v>0973544190500</v>
      </c>
      <c r="R95" s="464" t="str">
        <f>IF(ISNA(VLOOKUP(Tabla13[[#This Row],[Código Indra]],#REF!,1,FALSE)),"NO", "SI")</f>
        <v>SI</v>
      </c>
      <c r="S95" s="460" t="str">
        <f>IF(ISNA(VLOOKUP(Tabla13[[#This Row],[Código Indra]],Tabla132[[Código INDRA]:[Nombre]],1,FALSE)),"NO", "SI")</f>
        <v>SI</v>
      </c>
      <c r="T95" s="465" t="s">
        <v>2005</v>
      </c>
      <c r="U95" s="464" t="s">
        <v>256</v>
      </c>
      <c r="V95" s="464" t="e">
        <f>VLOOKUP(Tabla13[[#This Row],[Apoyo]],'LM SAP'!A:I,9,FALSE)</f>
        <v>#N/A</v>
      </c>
      <c r="W95" s="464" t="s">
        <v>234</v>
      </c>
      <c r="X95" s="466">
        <v>0</v>
      </c>
      <c r="Y95" s="464">
        <f>Tabla13[[#This Row],[ID]]</f>
        <v>85</v>
      </c>
    </row>
    <row r="96" spans="1:25" s="464" customFormat="1" ht="24" x14ac:dyDescent="0.25">
      <c r="A96" s="453">
        <v>86</v>
      </c>
      <c r="B96" s="454" t="s">
        <v>1319</v>
      </c>
      <c r="C96" s="469" t="s">
        <v>1320</v>
      </c>
      <c r="D96" s="469" t="s">
        <v>57</v>
      </c>
      <c r="E96" s="457" t="s">
        <v>1321</v>
      </c>
      <c r="F96" s="458">
        <v>1</v>
      </c>
      <c r="G96" s="459"/>
      <c r="H96" s="460"/>
      <c r="I96" s="460" t="s">
        <v>276</v>
      </c>
      <c r="J96" s="460"/>
      <c r="K96" s="460" t="s">
        <v>1411</v>
      </c>
      <c r="L96" s="460">
        <v>60005229</v>
      </c>
      <c r="M96" s="461">
        <v>45622</v>
      </c>
      <c r="N96" s="461">
        <v>45628</v>
      </c>
      <c r="O96" s="470" t="s">
        <v>281</v>
      </c>
      <c r="P96" s="463" t="str">
        <f>IF(LEFT(B96,5)="09735",
    IF(ISNA(VLOOKUP(Tabla13[[#This Row],[Apoyo]],'LM SAP'!A:G,1,FALSE)),
        "No Disponible",
        IF(VLOOKUP(Tabla13[[#This Row],[Apoyo]],'LM SAP'!A:AD,9,FALSE)="RR",
            "Disponible",
            "Firmas SAP"
        )
    ),
    "CONSULTAR"
)</f>
        <v>Disponible</v>
      </c>
      <c r="Q96" s="460" t="str">
        <f>MID(Tabla13[[#This Row],[Código Indra]],1,13)</f>
        <v>0973544190600</v>
      </c>
      <c r="R96" s="464" t="str">
        <f>IF(ISNA(VLOOKUP(Tabla13[[#This Row],[Código Indra]],#REF!,1,FALSE)),"NO", "SI")</f>
        <v>SI</v>
      </c>
      <c r="S96" s="460" t="str">
        <f>IF(ISNA(VLOOKUP(Tabla13[[#This Row],[Código Indra]],Tabla132[[Código INDRA]:[Nombre]],1,FALSE)),"NO", "SI")</f>
        <v>SI</v>
      </c>
      <c r="T96" s="465" t="s">
        <v>2111</v>
      </c>
      <c r="U96" s="464" t="s">
        <v>256</v>
      </c>
      <c r="V96" s="464" t="str">
        <f>VLOOKUP(Tabla13[[#This Row],[Apoyo]],'LM SAP'!A:I,9,FALSE)</f>
        <v>RR</v>
      </c>
      <c r="W96" s="464" t="s">
        <v>234</v>
      </c>
      <c r="X96" s="466">
        <v>0</v>
      </c>
      <c r="Y96" s="464">
        <f>Tabla13[[#This Row],[ID]]</f>
        <v>86</v>
      </c>
    </row>
    <row r="97" spans="1:25" s="464" customFormat="1" ht="48" x14ac:dyDescent="0.25">
      <c r="A97" s="453">
        <v>87</v>
      </c>
      <c r="B97" s="496" t="s">
        <v>471</v>
      </c>
      <c r="C97" s="455" t="s">
        <v>65</v>
      </c>
      <c r="D97" s="456" t="s">
        <v>26</v>
      </c>
      <c r="E97" s="457" t="s">
        <v>2112</v>
      </c>
      <c r="F97" s="458">
        <v>1</v>
      </c>
      <c r="G97" s="459"/>
      <c r="H97" s="495"/>
      <c r="I97" s="460" t="s">
        <v>2011</v>
      </c>
      <c r="J97" s="460"/>
      <c r="K97" s="460" t="s">
        <v>220</v>
      </c>
      <c r="L97" s="460">
        <v>60005256</v>
      </c>
      <c r="M97" s="461">
        <v>45630</v>
      </c>
      <c r="N97" s="461">
        <v>45671</v>
      </c>
      <c r="O97" s="467" t="s">
        <v>2113</v>
      </c>
      <c r="P97" s="463" t="str">
        <f>IF(LEFT(B97,5)="09735",
    IF(ISNA(VLOOKUP(Tabla13[[#This Row],[Apoyo]],'LM SAP'!A:G,1,FALSE)),
        "No Disponible",
        IF(VLOOKUP(Tabla13[[#This Row],[Apoyo]],'LM SAP'!A:AD,9,FALSE)="RR",
            "Disponible",
            "Firmas SAP"
        )
    ),
    "CONSULTAR"
)</f>
        <v>No Disponible</v>
      </c>
      <c r="Q97" s="460" t="str">
        <f>MID(Tabla13[[#This Row],[Código Indra]],1,13)</f>
        <v>0973524191400</v>
      </c>
      <c r="R97" s="464" t="str">
        <f>IF(ISNA(VLOOKUP(Tabla13[[#This Row],[Código Indra]],#REF!,1,FALSE)),"NO", "SI")</f>
        <v>SI</v>
      </c>
      <c r="S97" s="460" t="str">
        <f>IF(ISNA(VLOOKUP(Tabla13[[#This Row],[Código Indra]],Tabla132[[Código INDRA]:[Nombre]],1,FALSE)),"NO", "SI")</f>
        <v>SI</v>
      </c>
      <c r="T97" s="465"/>
      <c r="U97" s="464" t="s">
        <v>227</v>
      </c>
      <c r="V97" s="464" t="e">
        <f>VLOOKUP(Tabla13[[#This Row],[Apoyo]],'LM SAP'!A:I,9,FALSE)</f>
        <v>#N/A</v>
      </c>
      <c r="W97" s="464" t="s">
        <v>234</v>
      </c>
      <c r="X97" s="466">
        <v>16</v>
      </c>
      <c r="Y97" s="464">
        <f>Tabla13[[#This Row],[ID]]</f>
        <v>87</v>
      </c>
    </row>
    <row r="98" spans="1:25" s="464" customFormat="1" ht="24" x14ac:dyDescent="0.25">
      <c r="A98" s="453">
        <v>88</v>
      </c>
      <c r="B98" s="454" t="s">
        <v>476</v>
      </c>
      <c r="C98" s="469" t="s">
        <v>2114</v>
      </c>
      <c r="D98" s="456" t="s">
        <v>478</v>
      </c>
      <c r="E98" s="457" t="s">
        <v>2115</v>
      </c>
      <c r="F98" s="458">
        <v>1</v>
      </c>
      <c r="G98" s="459"/>
      <c r="H98" s="460"/>
      <c r="I98" s="460" t="s">
        <v>2011</v>
      </c>
      <c r="J98" s="460"/>
      <c r="K98" s="460" t="s">
        <v>1411</v>
      </c>
      <c r="L98" s="460">
        <v>60004738</v>
      </c>
      <c r="M98" s="461">
        <v>45607</v>
      </c>
      <c r="N98" s="461">
        <v>45611</v>
      </c>
      <c r="O98" s="470" t="s">
        <v>281</v>
      </c>
      <c r="P98" s="463" t="str">
        <f>IF(LEFT(B98,5)="09735",
    IF(ISNA(VLOOKUP(Tabla13[[#This Row],[Apoyo]],'LM SAP'!A:G,1,FALSE)),
        "No Disponible",
        IF(VLOOKUP(Tabla13[[#This Row],[Apoyo]],'LM SAP'!A:AD,9,FALSE)="RR",
            "Disponible",
            "Firmas SAP"
        )
    ),
    "CONSULTAR"
)</f>
        <v>No Disponible</v>
      </c>
      <c r="Q98" s="460" t="str">
        <f>MID(Tabla13[[#This Row],[Código Indra]],1,13)</f>
        <v>0973545000200</v>
      </c>
      <c r="R98" s="464" t="str">
        <f>IF(ISNA(VLOOKUP(Tabla13[[#This Row],[Código Indra]],#REF!,1,FALSE)),"NO", "SI")</f>
        <v>SI</v>
      </c>
      <c r="S98" s="460" t="str">
        <f>IF(ISNA(VLOOKUP(Tabla13[[#This Row],[Código Indra]],Tabla132[[Código INDRA]:[Nombre]],1,FALSE)),"NO", "SI")</f>
        <v>SI</v>
      </c>
      <c r="T98" s="465" t="s">
        <v>2005</v>
      </c>
      <c r="U98" s="464" t="s">
        <v>256</v>
      </c>
      <c r="V98" s="464" t="e">
        <f>VLOOKUP(Tabla13[[#This Row],[Apoyo]],'LM SAP'!A:I,9,FALSE)</f>
        <v>#N/A</v>
      </c>
      <c r="W98" s="464" t="s">
        <v>234</v>
      </c>
      <c r="X98" s="466">
        <v>20</v>
      </c>
      <c r="Y98" s="464">
        <f>Tabla13[[#This Row],[ID]]</f>
        <v>88</v>
      </c>
    </row>
    <row r="99" spans="1:25" s="464" customFormat="1" ht="24" x14ac:dyDescent="0.25">
      <c r="A99" s="453">
        <v>89</v>
      </c>
      <c r="B99" s="454" t="s">
        <v>481</v>
      </c>
      <c r="C99" s="469" t="s">
        <v>2116</v>
      </c>
      <c r="D99" s="456" t="s">
        <v>478</v>
      </c>
      <c r="E99" s="457" t="s">
        <v>2117</v>
      </c>
      <c r="F99" s="458">
        <v>1</v>
      </c>
      <c r="G99" s="459"/>
      <c r="H99" s="495"/>
      <c r="I99" s="460" t="s">
        <v>2011</v>
      </c>
      <c r="J99" s="460"/>
      <c r="K99" s="460" t="s">
        <v>1411</v>
      </c>
      <c r="L99" s="460">
        <v>60004739</v>
      </c>
      <c r="M99" s="461">
        <v>45607</v>
      </c>
      <c r="N99" s="461">
        <v>45621</v>
      </c>
      <c r="O99" s="470" t="s">
        <v>484</v>
      </c>
      <c r="P99" s="463" t="str">
        <f>IF(LEFT(B99,5)="09735",
    IF(ISNA(VLOOKUP(Tabla13[[#This Row],[Apoyo]],'LM SAP'!A:G,1,FALSE)),
        "No Disponible",
        IF(VLOOKUP(Tabla13[[#This Row],[Apoyo]],'LM SAP'!A:AD,9,FALSE)="RR",
            "Disponible",
            "Firmas SAP"
        )
    ),
    "CONSULTAR"
)</f>
        <v>No Disponible</v>
      </c>
      <c r="Q99" s="460" t="str">
        <f>MID(Tabla13[[#This Row],[Código Indra]],1,13)</f>
        <v>0973545000400</v>
      </c>
      <c r="R99" s="464" t="str">
        <f>IF(ISNA(VLOOKUP(Tabla13[[#This Row],[Código Indra]],#REF!,1,FALSE)),"NO", "SI")</f>
        <v>SI</v>
      </c>
      <c r="S99" s="460" t="str">
        <f>IF(ISNA(VLOOKUP(Tabla13[[#This Row],[Código Indra]],Tabla132[[Código INDRA]:[Nombre]],1,FALSE)),"NO", "SI")</f>
        <v>SI</v>
      </c>
      <c r="T99" s="465" t="s">
        <v>2005</v>
      </c>
      <c r="U99" s="464" t="s">
        <v>256</v>
      </c>
      <c r="V99" s="464" t="e">
        <f>VLOOKUP(Tabla13[[#This Row],[Apoyo]],'LM SAP'!A:I,9,FALSE)</f>
        <v>#N/A</v>
      </c>
      <c r="W99" s="464" t="s">
        <v>234</v>
      </c>
      <c r="X99" s="466">
        <v>20</v>
      </c>
      <c r="Y99" s="464">
        <f>Tabla13[[#This Row],[ID]]</f>
        <v>89</v>
      </c>
    </row>
    <row r="100" spans="1:25" s="464" customFormat="1" ht="48" x14ac:dyDescent="0.25">
      <c r="A100" s="453">
        <v>90</v>
      </c>
      <c r="B100" s="454" t="s">
        <v>485</v>
      </c>
      <c r="C100" s="469" t="s">
        <v>2118</v>
      </c>
      <c r="D100" s="456" t="s">
        <v>478</v>
      </c>
      <c r="E100" s="457" t="s">
        <v>487</v>
      </c>
      <c r="F100" s="458">
        <v>1</v>
      </c>
      <c r="G100" s="459"/>
      <c r="H100" s="460"/>
      <c r="I100" s="460" t="s">
        <v>2011</v>
      </c>
      <c r="J100" s="460"/>
      <c r="K100" s="460" t="s">
        <v>1411</v>
      </c>
      <c r="L100" s="460">
        <v>60004585</v>
      </c>
      <c r="M100" s="461">
        <v>45579</v>
      </c>
      <c r="N100" s="461">
        <v>45583</v>
      </c>
      <c r="O100" s="470" t="s">
        <v>2119</v>
      </c>
      <c r="P100" s="463" t="str">
        <f>IF(LEFT(B100,5)="09735",
    IF(ISNA(VLOOKUP(Tabla13[[#This Row],[Apoyo]],'LM SAP'!A:G,1,FALSE)),
        "No Disponible",
        IF(VLOOKUP(Tabla13[[#This Row],[Apoyo]],'LM SAP'!A:AD,9,FALSE)="RR",
            "Disponible",
            "Firmas SAP"
        )
    ),
    "CONSULTAR"
)</f>
        <v>No Disponible</v>
      </c>
      <c r="Q100" s="460" t="str">
        <f>MID(Tabla13[[#This Row],[Código Indra]],1,13)</f>
        <v>0973545000500</v>
      </c>
      <c r="R100" s="464" t="str">
        <f>IF(ISNA(VLOOKUP(Tabla13[[#This Row],[Código Indra]],#REF!,1,FALSE)),"NO", "SI")</f>
        <v>SI</v>
      </c>
      <c r="S100" s="460" t="str">
        <f>IF(ISNA(VLOOKUP(Tabla13[[#This Row],[Código Indra]],Tabla132[[Código INDRA]:[Nombre]],1,FALSE)),"NO", "SI")</f>
        <v>SI</v>
      </c>
      <c r="T100" s="465" t="s">
        <v>2005</v>
      </c>
      <c r="U100" s="464" t="s">
        <v>256</v>
      </c>
      <c r="V100" s="464" t="e">
        <f>VLOOKUP(Tabla13[[#This Row],[Apoyo]],'LM SAP'!A:I,9,FALSE)</f>
        <v>#N/A</v>
      </c>
      <c r="W100" s="464" t="s">
        <v>234</v>
      </c>
      <c r="X100" s="466">
        <v>20</v>
      </c>
      <c r="Y100" s="464">
        <f>Tabla13[[#This Row],[ID]]</f>
        <v>90</v>
      </c>
    </row>
    <row r="101" spans="1:25" s="464" customFormat="1" ht="24" x14ac:dyDescent="0.25">
      <c r="A101" s="453">
        <v>91</v>
      </c>
      <c r="B101" s="454" t="s">
        <v>489</v>
      </c>
      <c r="C101" s="469" t="s">
        <v>1742</v>
      </c>
      <c r="D101" s="456" t="s">
        <v>478</v>
      </c>
      <c r="E101" s="457" t="s">
        <v>491</v>
      </c>
      <c r="F101" s="458">
        <v>1</v>
      </c>
      <c r="G101" s="459"/>
      <c r="H101" s="495"/>
      <c r="I101" s="460" t="s">
        <v>2011</v>
      </c>
      <c r="J101" s="460"/>
      <c r="K101" s="460" t="s">
        <v>1411</v>
      </c>
      <c r="L101" s="460">
        <v>60004599</v>
      </c>
      <c r="M101" s="461">
        <v>45586</v>
      </c>
      <c r="N101" s="461">
        <v>45595</v>
      </c>
      <c r="O101" s="470" t="s">
        <v>2120</v>
      </c>
      <c r="P101" s="463" t="str">
        <f>IF(LEFT(B101,5)="09735",
    IF(ISNA(VLOOKUP(Tabla13[[#This Row],[Apoyo]],'LM SAP'!A:G,1,FALSE)),
        "No Disponible",
        IF(VLOOKUP(Tabla13[[#This Row],[Apoyo]],'LM SAP'!A:AD,9,FALSE)="RR",
            "Disponible",
            "Firmas SAP"
        )
    ),
    "CONSULTAR"
)</f>
        <v>No Disponible</v>
      </c>
      <c r="Q101" s="460" t="str">
        <f>MID(Tabla13[[#This Row],[Código Indra]],1,13)</f>
        <v>0973545000600</v>
      </c>
      <c r="R101" s="464" t="str">
        <f>IF(ISNA(VLOOKUP(Tabla13[[#This Row],[Código Indra]],#REF!,1,FALSE)),"NO", "SI")</f>
        <v>SI</v>
      </c>
      <c r="S101" s="460" t="str">
        <f>IF(ISNA(VLOOKUP(Tabla13[[#This Row],[Código Indra]],Tabla132[[Código INDRA]:[Nombre]],1,FALSE)),"NO", "SI")</f>
        <v>SI</v>
      </c>
      <c r="T101" s="465" t="s">
        <v>2005</v>
      </c>
      <c r="U101" s="464" t="s">
        <v>256</v>
      </c>
      <c r="V101" s="464" t="e">
        <f>VLOOKUP(Tabla13[[#This Row],[Apoyo]],'LM SAP'!A:I,9,FALSE)</f>
        <v>#N/A</v>
      </c>
      <c r="W101" s="464" t="s">
        <v>234</v>
      </c>
      <c r="X101" s="466">
        <v>20</v>
      </c>
      <c r="Y101" s="464">
        <f>Tabla13[[#This Row],[ID]]</f>
        <v>91</v>
      </c>
    </row>
    <row r="102" spans="1:25" s="464" customFormat="1" ht="48" x14ac:dyDescent="0.25">
      <c r="A102" s="453">
        <v>92</v>
      </c>
      <c r="B102" s="454" t="s">
        <v>493</v>
      </c>
      <c r="C102" s="469" t="s">
        <v>2121</v>
      </c>
      <c r="D102" s="456" t="s">
        <v>478</v>
      </c>
      <c r="E102" s="457" t="s">
        <v>495</v>
      </c>
      <c r="F102" s="458">
        <v>1</v>
      </c>
      <c r="G102" s="459"/>
      <c r="H102" s="495"/>
      <c r="I102" s="460" t="s">
        <v>2011</v>
      </c>
      <c r="J102" s="460"/>
      <c r="K102" s="460" t="s">
        <v>1411</v>
      </c>
      <c r="L102" s="460">
        <v>60004660</v>
      </c>
      <c r="M102" s="461">
        <v>45586</v>
      </c>
      <c r="N102" s="461">
        <v>45601</v>
      </c>
      <c r="O102" s="470" t="s">
        <v>496</v>
      </c>
      <c r="P102" s="463" t="str">
        <f>IF(LEFT(B102,5)="09735",
    IF(ISNA(VLOOKUP(Tabla13[[#This Row],[Apoyo]],'LM SAP'!A:G,1,FALSE)),
        "No Disponible",
        IF(VLOOKUP(Tabla13[[#This Row],[Apoyo]],'LM SAP'!A:AD,9,FALSE)="RR",
            "Disponible",
            "Firmas SAP"
        )
    ),
    "CONSULTAR"
)</f>
        <v>No Disponible</v>
      </c>
      <c r="Q102" s="460" t="str">
        <f>MID(Tabla13[[#This Row],[Código Indra]],1,13)</f>
        <v>0973545000700</v>
      </c>
      <c r="R102" s="464" t="str">
        <f>IF(ISNA(VLOOKUP(Tabla13[[#This Row],[Código Indra]],#REF!,1,FALSE)),"NO", "SI")</f>
        <v>SI</v>
      </c>
      <c r="S102" s="460" t="str">
        <f>IF(ISNA(VLOOKUP(Tabla13[[#This Row],[Código Indra]],Tabla132[[Código INDRA]:[Nombre]],1,FALSE)),"NO", "SI")</f>
        <v>SI</v>
      </c>
      <c r="T102" s="465" t="s">
        <v>2005</v>
      </c>
      <c r="U102" s="464" t="s">
        <v>256</v>
      </c>
      <c r="V102" s="464" t="e">
        <f>VLOOKUP(Tabla13[[#This Row],[Apoyo]],'LM SAP'!A:I,9,FALSE)</f>
        <v>#N/A</v>
      </c>
      <c r="W102" s="464" t="s">
        <v>234</v>
      </c>
      <c r="X102" s="466">
        <v>20</v>
      </c>
      <c r="Y102" s="464">
        <f>Tabla13[[#This Row],[ID]]</f>
        <v>92</v>
      </c>
    </row>
    <row r="103" spans="1:25" s="464" customFormat="1" ht="48" x14ac:dyDescent="0.25">
      <c r="A103" s="497">
        <v>93</v>
      </c>
      <c r="B103" s="498" t="s">
        <v>67</v>
      </c>
      <c r="C103" s="499" t="s">
        <v>68</v>
      </c>
      <c r="D103" s="500" t="s">
        <v>26</v>
      </c>
      <c r="E103" s="501" t="s">
        <v>2122</v>
      </c>
      <c r="F103" s="502">
        <v>1</v>
      </c>
      <c r="G103" s="503"/>
      <c r="H103" s="504"/>
      <c r="I103" s="504" t="s">
        <v>276</v>
      </c>
      <c r="J103" s="504"/>
      <c r="K103" s="504" t="s">
        <v>220</v>
      </c>
      <c r="L103" s="504">
        <v>60006453</v>
      </c>
      <c r="M103" s="505">
        <v>45740</v>
      </c>
      <c r="N103" s="505">
        <v>45740</v>
      </c>
      <c r="O103" s="462" t="s">
        <v>2123</v>
      </c>
      <c r="P103" s="506" t="str">
        <f>IF(LEFT(B103,5)="09735",
    IF(ISNA(VLOOKUP(Tabla13[[#This Row],[Apoyo]],'LM SAP'!A:G,1,FALSE)),
        "No Disponible",
        IF(VLOOKUP(Tabla13[[#This Row],[Apoyo]],'LM SAP'!A:AD,9,FALSE)="RR",
            "Disponible",
            "Firmas SAP"
        )
    ),
    "CONSULTAR"
)</f>
        <v>No Disponible</v>
      </c>
      <c r="Q103" s="504" t="str">
        <f>MID(Tabla13[[#This Row],[Código Indra]],1,13)</f>
        <v>0973524191500</v>
      </c>
      <c r="R103" s="493" t="str">
        <f>IF(ISNA(VLOOKUP(Tabla13[[#This Row],[Código Indra]],#REF!,1,FALSE)),"NO", "SI")</f>
        <v>SI</v>
      </c>
      <c r="S103" s="504" t="str">
        <f>IF(ISNA(VLOOKUP(Tabla13[[#This Row],[Código Indra]],Tabla132[[Código INDRA]:[Nombre]],1,FALSE)),"NO", "SI")</f>
        <v>SI</v>
      </c>
      <c r="T103" s="507"/>
      <c r="U103" s="493" t="s">
        <v>227</v>
      </c>
      <c r="V103" s="493" t="e">
        <f>VLOOKUP(Tabla13[[#This Row],[Apoyo]],'LM SAP'!A:I,9,FALSE)</f>
        <v>#N/A</v>
      </c>
      <c r="W103" s="493" t="s">
        <v>234</v>
      </c>
      <c r="X103" s="508">
        <v>16</v>
      </c>
      <c r="Y103" s="493">
        <f>Tabla13[[#This Row],[ID]]</f>
        <v>93</v>
      </c>
    </row>
    <row r="104" spans="1:25" s="464" customFormat="1" ht="24" x14ac:dyDescent="0.25">
      <c r="A104" s="453">
        <v>94</v>
      </c>
      <c r="B104" s="454" t="s">
        <v>500</v>
      </c>
      <c r="C104" s="469" t="s">
        <v>1746</v>
      </c>
      <c r="D104" s="456" t="s">
        <v>478</v>
      </c>
      <c r="E104" s="457" t="s">
        <v>2124</v>
      </c>
      <c r="F104" s="458">
        <v>1</v>
      </c>
      <c r="G104" s="459"/>
      <c r="H104" s="460"/>
      <c r="I104" s="460" t="s">
        <v>276</v>
      </c>
      <c r="J104" s="460"/>
      <c r="K104" s="460" t="s">
        <v>1411</v>
      </c>
      <c r="L104" s="460">
        <v>60004533</v>
      </c>
      <c r="M104" s="461">
        <v>45568</v>
      </c>
      <c r="N104" s="461" t="s">
        <v>253</v>
      </c>
      <c r="O104" s="470" t="s">
        <v>281</v>
      </c>
      <c r="P104" s="463" t="str">
        <f>IF(LEFT(B104,5)="09735",
    IF(ISNA(VLOOKUP(Tabla13[[#This Row],[Apoyo]],'LM SAP'!A:G,1,FALSE)),
        "No Disponible",
        IF(VLOOKUP(Tabla13[[#This Row],[Apoyo]],'LM SAP'!A:AD,9,FALSE)="RR",
            "Disponible",
            "Firmas SAP"
        )
    ),
    "CONSULTAR"
)</f>
        <v>No Disponible</v>
      </c>
      <c r="Q104" s="460" t="str">
        <f>MID(Tabla13[[#This Row],[Código Indra]],1,13)</f>
        <v>0973545001000</v>
      </c>
      <c r="R104" s="464" t="str">
        <f>IF(ISNA(VLOOKUP(Tabla13[[#This Row],[Código Indra]],#REF!,1,FALSE)),"NO", "SI")</f>
        <v>SI</v>
      </c>
      <c r="S104" s="460" t="str">
        <f>IF(ISNA(VLOOKUP(Tabla13[[#This Row],[Código Indra]],Tabla132[[Código INDRA]:[Nombre]],1,FALSE)),"NO", "SI")</f>
        <v>SI</v>
      </c>
      <c r="T104" s="465" t="s">
        <v>2005</v>
      </c>
      <c r="U104" s="464" t="s">
        <v>256</v>
      </c>
      <c r="V104" s="464" t="e">
        <f>VLOOKUP(Tabla13[[#This Row],[Apoyo]],'LM SAP'!A:I,9,FALSE)</f>
        <v>#N/A</v>
      </c>
      <c r="W104" s="464" t="s">
        <v>234</v>
      </c>
      <c r="X104" s="466">
        <v>20</v>
      </c>
      <c r="Y104" s="464">
        <f>Tabla13[[#This Row],[ID]]</f>
        <v>94</v>
      </c>
    </row>
    <row r="105" spans="1:25" s="464" customFormat="1" ht="24" x14ac:dyDescent="0.25">
      <c r="A105" s="453">
        <v>95</v>
      </c>
      <c r="B105" s="454" t="s">
        <v>502</v>
      </c>
      <c r="C105" s="469" t="s">
        <v>1749</v>
      </c>
      <c r="D105" s="456" t="s">
        <v>478</v>
      </c>
      <c r="E105" s="457" t="s">
        <v>2125</v>
      </c>
      <c r="F105" s="458">
        <v>1</v>
      </c>
      <c r="G105" s="459"/>
      <c r="H105" s="495"/>
      <c r="I105" s="460" t="s">
        <v>276</v>
      </c>
      <c r="J105" s="460"/>
      <c r="K105" s="460" t="s">
        <v>1411</v>
      </c>
      <c r="L105" s="460">
        <v>60004534</v>
      </c>
      <c r="M105" s="461">
        <v>45568</v>
      </c>
      <c r="N105" s="461">
        <v>45601</v>
      </c>
      <c r="O105" s="470"/>
      <c r="P105" s="463" t="str">
        <f>IF(LEFT(B105,5)="09735",
    IF(ISNA(VLOOKUP(Tabla13[[#This Row],[Apoyo]],'LM SAP'!A:G,1,FALSE)),
        "No Disponible",
        IF(VLOOKUP(Tabla13[[#This Row],[Apoyo]],'LM SAP'!A:AD,9,FALSE)="RR",
            "Disponible",
            "Firmas SAP"
        )
    ),
    "CONSULTAR"
)</f>
        <v>No Disponible</v>
      </c>
      <c r="Q105" s="460" t="str">
        <f>MID(Tabla13[[#This Row],[Código Indra]],1,13)</f>
        <v>0973545001200</v>
      </c>
      <c r="R105" s="464" t="str">
        <f>IF(ISNA(VLOOKUP(Tabla13[[#This Row],[Código Indra]],#REF!,1,FALSE)),"NO", "SI")</f>
        <v>SI</v>
      </c>
      <c r="S105" s="460" t="str">
        <f>IF(ISNA(VLOOKUP(Tabla13[[#This Row],[Código Indra]],Tabla132[[Código INDRA]:[Nombre]],1,FALSE)),"NO", "SI")</f>
        <v>SI</v>
      </c>
      <c r="T105" s="465" t="s">
        <v>2005</v>
      </c>
      <c r="U105" s="464" t="s">
        <v>256</v>
      </c>
      <c r="V105" s="464" t="e">
        <f>VLOOKUP(Tabla13[[#This Row],[Apoyo]],'LM SAP'!A:I,9,FALSE)</f>
        <v>#N/A</v>
      </c>
      <c r="W105" s="464" t="s">
        <v>234</v>
      </c>
      <c r="X105" s="466">
        <v>20</v>
      </c>
      <c r="Y105" s="464">
        <f>Tabla13[[#This Row],[ID]]</f>
        <v>95</v>
      </c>
    </row>
    <row r="106" spans="1:25" s="464" customFormat="1" ht="24" x14ac:dyDescent="0.25">
      <c r="A106" s="453">
        <v>96</v>
      </c>
      <c r="B106" s="454" t="s">
        <v>504</v>
      </c>
      <c r="C106" s="469" t="s">
        <v>1752</v>
      </c>
      <c r="D106" s="456" t="s">
        <v>478</v>
      </c>
      <c r="E106" s="457" t="s">
        <v>2126</v>
      </c>
      <c r="F106" s="458">
        <v>1</v>
      </c>
      <c r="G106" s="459"/>
      <c r="H106" s="460"/>
      <c r="I106" s="460" t="s">
        <v>276</v>
      </c>
      <c r="J106" s="460"/>
      <c r="K106" s="460" t="s">
        <v>1411</v>
      </c>
      <c r="L106" s="460">
        <v>60004535</v>
      </c>
      <c r="M106" s="461">
        <v>45568</v>
      </c>
      <c r="N106" s="461" t="s">
        <v>253</v>
      </c>
      <c r="O106" s="470" t="s">
        <v>281</v>
      </c>
      <c r="P106" s="463" t="str">
        <f>IF(LEFT(B106,5)="09735",
    IF(ISNA(VLOOKUP(Tabla13[[#This Row],[Apoyo]],'LM SAP'!A:G,1,FALSE)),
        "No Disponible",
        IF(VLOOKUP(Tabla13[[#This Row],[Apoyo]],'LM SAP'!A:AD,9,FALSE)="RR",
            "Disponible",
            "Firmas SAP"
        )
    ),
    "CONSULTAR"
)</f>
        <v>No Disponible</v>
      </c>
      <c r="Q106" s="460" t="str">
        <f>MID(Tabla13[[#This Row],[Código Indra]],1,13)</f>
        <v>0973545001300</v>
      </c>
      <c r="R106" s="464" t="str">
        <f>IF(ISNA(VLOOKUP(Tabla13[[#This Row],[Código Indra]],#REF!,1,FALSE)),"NO", "SI")</f>
        <v>SI</v>
      </c>
      <c r="S106" s="460" t="str">
        <f>IF(ISNA(VLOOKUP(Tabla13[[#This Row],[Código Indra]],Tabla132[[Código INDRA]:[Nombre]],1,FALSE)),"NO", "SI")</f>
        <v>SI</v>
      </c>
      <c r="T106" s="465" t="s">
        <v>2005</v>
      </c>
      <c r="U106" s="464" t="s">
        <v>256</v>
      </c>
      <c r="V106" s="464" t="e">
        <f>VLOOKUP(Tabla13[[#This Row],[Apoyo]],'LM SAP'!A:I,9,FALSE)</f>
        <v>#N/A</v>
      </c>
      <c r="W106" s="464" t="s">
        <v>234</v>
      </c>
      <c r="X106" s="466">
        <v>20</v>
      </c>
      <c r="Y106" s="464">
        <f>Tabla13[[#This Row],[ID]]</f>
        <v>96</v>
      </c>
    </row>
    <row r="107" spans="1:25" s="464" customFormat="1" ht="24" x14ac:dyDescent="0.25">
      <c r="A107" s="453">
        <v>97</v>
      </c>
      <c r="B107" s="454" t="s">
        <v>506</v>
      </c>
      <c r="C107" s="469" t="s">
        <v>1754</v>
      </c>
      <c r="D107" s="456" t="s">
        <v>478</v>
      </c>
      <c r="E107" s="457" t="s">
        <v>2127</v>
      </c>
      <c r="F107" s="458">
        <v>1</v>
      </c>
      <c r="G107" s="459"/>
      <c r="H107" s="460"/>
      <c r="I107" s="460" t="s">
        <v>276</v>
      </c>
      <c r="J107" s="460"/>
      <c r="K107" s="460" t="s">
        <v>1411</v>
      </c>
      <c r="L107" s="460">
        <v>60004536</v>
      </c>
      <c r="M107" s="461">
        <v>45568</v>
      </c>
      <c r="N107" s="461">
        <v>45628</v>
      </c>
      <c r="O107" s="470" t="s">
        <v>281</v>
      </c>
      <c r="P107" s="463" t="str">
        <f>IF(LEFT(B107,5)="09735",
    IF(ISNA(VLOOKUP(Tabla13[[#This Row],[Apoyo]],'LM SAP'!A:G,1,FALSE)),
        "No Disponible",
        IF(VLOOKUP(Tabla13[[#This Row],[Apoyo]],'LM SAP'!A:AD,9,FALSE)="RR",
            "Disponible",
            "Firmas SAP"
        )
    ),
    "CONSULTAR"
)</f>
        <v>No Disponible</v>
      </c>
      <c r="Q107" s="460" t="str">
        <f>MID(Tabla13[[#This Row],[Código Indra]],1,13)</f>
        <v>0973545001400</v>
      </c>
      <c r="R107" s="464" t="str">
        <f>IF(ISNA(VLOOKUP(Tabla13[[#This Row],[Código Indra]],#REF!,1,FALSE)),"NO", "SI")</f>
        <v>SI</v>
      </c>
      <c r="S107" s="460" t="str">
        <f>IF(ISNA(VLOOKUP(Tabla13[[#This Row],[Código Indra]],Tabla132[[Código INDRA]:[Nombre]],1,FALSE)),"NO", "SI")</f>
        <v>SI</v>
      </c>
      <c r="T107" s="465" t="s">
        <v>2005</v>
      </c>
      <c r="U107" s="464" t="s">
        <v>256</v>
      </c>
      <c r="V107" s="464" t="e">
        <f>VLOOKUP(Tabla13[[#This Row],[Apoyo]],'LM SAP'!A:I,9,FALSE)</f>
        <v>#N/A</v>
      </c>
      <c r="W107" s="464" t="s">
        <v>234</v>
      </c>
      <c r="X107" s="466">
        <v>20</v>
      </c>
      <c r="Y107" s="464">
        <f>Tabla13[[#This Row],[ID]]</f>
        <v>97</v>
      </c>
    </row>
    <row r="108" spans="1:25" s="464" customFormat="1" ht="72" x14ac:dyDescent="0.25">
      <c r="A108" s="453">
        <v>98</v>
      </c>
      <c r="B108" s="496" t="s">
        <v>643</v>
      </c>
      <c r="C108" s="455" t="s">
        <v>71</v>
      </c>
      <c r="D108" s="456" t="s">
        <v>26</v>
      </c>
      <c r="E108" s="457" t="s">
        <v>2128</v>
      </c>
      <c r="F108" s="458">
        <v>1</v>
      </c>
      <c r="G108" s="459"/>
      <c r="H108" s="460"/>
      <c r="I108" s="460" t="s">
        <v>2011</v>
      </c>
      <c r="J108" s="460"/>
      <c r="K108" s="460" t="s">
        <v>1411</v>
      </c>
      <c r="L108" s="460">
        <v>60005258</v>
      </c>
      <c r="M108" s="461">
        <v>45630</v>
      </c>
      <c r="N108" s="461">
        <v>45665</v>
      </c>
      <c r="O108" s="470" t="s">
        <v>2129</v>
      </c>
      <c r="P108" s="463" t="str">
        <f>IF(LEFT(B108,5)="09735",
    IF(ISNA(VLOOKUP(Tabla13[[#This Row],[Apoyo]],'LM SAP'!A:G,1,FALSE)),
        "No Disponible",
        IF(VLOOKUP(Tabla13[[#This Row],[Apoyo]],'LM SAP'!A:AD,9,FALSE)="RR",
            "Disponible",
            "Firmas SAP"
        )
    ),
    "CONSULTAR"
)</f>
        <v>No Disponible</v>
      </c>
      <c r="Q108" s="460" t="str">
        <f>MID(Tabla13[[#This Row],[Código Indra]],1,13)</f>
        <v>0973524190300</v>
      </c>
      <c r="R108" s="464" t="str">
        <f>IF(ISNA(VLOOKUP(Tabla13[[#This Row],[Código Indra]],#REF!,1,FALSE)),"NO", "SI")</f>
        <v>SI</v>
      </c>
      <c r="S108" s="460" t="str">
        <f>IF(ISNA(VLOOKUP(Tabla13[[#This Row],[Código Indra]],Tabla132[[Código INDRA]:[Nombre]],1,FALSE)),"NO", "SI")</f>
        <v>SI</v>
      </c>
      <c r="T108" s="465"/>
      <c r="U108" s="464" t="s">
        <v>227</v>
      </c>
      <c r="V108" s="464" t="e">
        <f>VLOOKUP(Tabla13[[#This Row],[Apoyo]],'LM SAP'!A:I,9,FALSE)</f>
        <v>#N/A</v>
      </c>
      <c r="W108" s="464" t="s">
        <v>234</v>
      </c>
      <c r="X108" s="466">
        <v>16</v>
      </c>
      <c r="Y108" s="464">
        <f>Tabla13[[#This Row],[ID]]</f>
        <v>98</v>
      </c>
    </row>
    <row r="109" spans="1:25" s="464" customFormat="1" ht="36" x14ac:dyDescent="0.25">
      <c r="A109" s="453">
        <v>99</v>
      </c>
      <c r="B109" s="454" t="s">
        <v>508</v>
      </c>
      <c r="C109" s="469" t="s">
        <v>1758</v>
      </c>
      <c r="D109" s="456" t="s">
        <v>478</v>
      </c>
      <c r="E109" s="457" t="s">
        <v>2130</v>
      </c>
      <c r="F109" s="458">
        <v>1</v>
      </c>
      <c r="G109" s="459"/>
      <c r="H109" s="460"/>
      <c r="I109" s="460" t="s">
        <v>2011</v>
      </c>
      <c r="J109" s="460"/>
      <c r="K109" s="460" t="s">
        <v>1411</v>
      </c>
      <c r="L109" s="460">
        <v>60004723</v>
      </c>
      <c r="M109" s="461">
        <v>45595</v>
      </c>
      <c r="N109" s="461">
        <v>45602</v>
      </c>
      <c r="O109" s="470" t="s">
        <v>511</v>
      </c>
      <c r="P109" s="463" t="str">
        <f>IF(LEFT(B109,5)="09735",
    IF(ISNA(VLOOKUP(Tabla13[[#This Row],[Apoyo]],'LM SAP'!A:G,1,FALSE)),
        "No Disponible",
        IF(VLOOKUP(Tabla13[[#This Row],[Apoyo]],'LM SAP'!A:AD,9,FALSE)="RR",
            "Disponible",
            "Firmas SAP"
        )
    ),
    "CONSULTAR"
)</f>
        <v>No Disponible</v>
      </c>
      <c r="Q109" s="460" t="str">
        <f>MID(Tabla13[[#This Row],[Código Indra]],1,13)</f>
        <v>0973545002300</v>
      </c>
      <c r="R109" s="464" t="str">
        <f>IF(ISNA(VLOOKUP(Tabla13[[#This Row],[Código Indra]],#REF!,1,FALSE)),"NO", "SI")</f>
        <v>SI</v>
      </c>
      <c r="S109" s="460" t="str">
        <f>IF(ISNA(VLOOKUP(Tabla13[[#This Row],[Código Indra]],Tabla132[[Código INDRA]:[Nombre]],1,FALSE)),"NO", "SI")</f>
        <v>SI</v>
      </c>
      <c r="T109" s="465" t="s">
        <v>2005</v>
      </c>
      <c r="U109" s="464" t="s">
        <v>256</v>
      </c>
      <c r="V109" s="464" t="e">
        <f>VLOOKUP(Tabla13[[#This Row],[Apoyo]],'LM SAP'!A:I,9,FALSE)</f>
        <v>#N/A</v>
      </c>
      <c r="W109" s="464" t="s">
        <v>234</v>
      </c>
      <c r="X109" s="466">
        <v>20</v>
      </c>
      <c r="Y109" s="464">
        <f>Tabla13[[#This Row],[ID]]</f>
        <v>99</v>
      </c>
    </row>
    <row r="110" spans="1:25" s="464" customFormat="1" ht="36" x14ac:dyDescent="0.25">
      <c r="A110" s="453">
        <v>100</v>
      </c>
      <c r="B110" s="454" t="s">
        <v>512</v>
      </c>
      <c r="C110" s="469" t="s">
        <v>2131</v>
      </c>
      <c r="D110" s="456" t="s">
        <v>478</v>
      </c>
      <c r="E110" s="457" t="s">
        <v>514</v>
      </c>
      <c r="F110" s="458">
        <v>1</v>
      </c>
      <c r="G110" s="459"/>
      <c r="H110" s="460"/>
      <c r="I110" s="460" t="s">
        <v>2011</v>
      </c>
      <c r="J110" s="460"/>
      <c r="K110" s="460" t="s">
        <v>1411</v>
      </c>
      <c r="L110" s="460">
        <v>60004537</v>
      </c>
      <c r="M110" s="461">
        <v>45568</v>
      </c>
      <c r="N110" s="461">
        <v>45579</v>
      </c>
      <c r="O110" s="470" t="s">
        <v>2132</v>
      </c>
      <c r="P110" s="463" t="str">
        <f>IF(LEFT(B110,5)="09735",
    IF(ISNA(VLOOKUP(Tabla13[[#This Row],[Apoyo]],'LM SAP'!A:G,1,FALSE)),
        "No Disponible",
        IF(VLOOKUP(Tabla13[[#This Row],[Apoyo]],'LM SAP'!A:AD,9,FALSE)="RR",
            "Disponible",
            "Firmas SAP"
        )
    ),
    "CONSULTAR"
)</f>
        <v>No Disponible</v>
      </c>
      <c r="Q110" s="460" t="str">
        <f>MID(Tabla13[[#This Row],[Código Indra]],1,13)</f>
        <v>0973545002200</v>
      </c>
      <c r="R110" s="464" t="str">
        <f>IF(ISNA(VLOOKUP(Tabla13[[#This Row],[Código Indra]],#REF!,1,FALSE)),"NO", "SI")</f>
        <v>SI</v>
      </c>
      <c r="S110" s="460" t="str">
        <f>IF(ISNA(VLOOKUP(Tabla13[[#This Row],[Código Indra]],Tabla132[[Código INDRA]:[Nombre]],1,FALSE)),"NO", "SI")</f>
        <v>SI</v>
      </c>
      <c r="T110" s="465" t="s">
        <v>2005</v>
      </c>
      <c r="U110" s="464" t="s">
        <v>256</v>
      </c>
      <c r="V110" s="464" t="e">
        <f>VLOOKUP(Tabla13[[#This Row],[Apoyo]],'LM SAP'!A:I,9,FALSE)</f>
        <v>#N/A</v>
      </c>
      <c r="W110" s="464" t="s">
        <v>234</v>
      </c>
      <c r="X110" s="466">
        <v>20</v>
      </c>
      <c r="Y110" s="464">
        <f>Tabla13[[#This Row],[ID]]</f>
        <v>100</v>
      </c>
    </row>
    <row r="111" spans="1:25" s="464" customFormat="1" ht="36" x14ac:dyDescent="0.25">
      <c r="A111" s="453">
        <v>101</v>
      </c>
      <c r="B111" s="454" t="s">
        <v>516</v>
      </c>
      <c r="C111" s="469" t="s">
        <v>2133</v>
      </c>
      <c r="D111" s="456" t="s">
        <v>478</v>
      </c>
      <c r="E111" s="457" t="s">
        <v>518</v>
      </c>
      <c r="F111" s="458">
        <v>1</v>
      </c>
      <c r="G111" s="459"/>
      <c r="H111" s="460"/>
      <c r="I111" s="460" t="s">
        <v>2011</v>
      </c>
      <c r="J111" s="460"/>
      <c r="K111" s="460" t="s">
        <v>1411</v>
      </c>
      <c r="L111" s="460">
        <v>60004492</v>
      </c>
      <c r="M111" s="461">
        <v>45566</v>
      </c>
      <c r="N111" s="461">
        <v>45579</v>
      </c>
      <c r="O111" s="470" t="s">
        <v>2134</v>
      </c>
      <c r="P111" s="463" t="str">
        <f>IF(LEFT(B111,5)="09735",
    IF(ISNA(VLOOKUP(Tabla13[[#This Row],[Apoyo]],'LM SAP'!A:G,1,FALSE)),
        "No Disponible",
        IF(VLOOKUP(Tabla13[[#This Row],[Apoyo]],'LM SAP'!A:AD,9,FALSE)="RR",
            "Disponible",
            "Firmas SAP"
        )
    ),
    "CONSULTAR"
)</f>
        <v>No Disponible</v>
      </c>
      <c r="Q111" s="460" t="str">
        <f>MID(Tabla13[[#This Row],[Código Indra]],1,13)</f>
        <v>0973545002400</v>
      </c>
      <c r="R111" s="464" t="str">
        <f>IF(ISNA(VLOOKUP(Tabla13[[#This Row],[Código Indra]],#REF!,1,FALSE)),"NO", "SI")</f>
        <v>SI</v>
      </c>
      <c r="S111" s="460" t="str">
        <f>IF(ISNA(VLOOKUP(Tabla13[[#This Row],[Código Indra]],Tabla132[[Código INDRA]:[Nombre]],1,FALSE)),"NO", "SI")</f>
        <v>SI</v>
      </c>
      <c r="T111" s="465" t="s">
        <v>2005</v>
      </c>
      <c r="U111" s="464" t="s">
        <v>256</v>
      </c>
      <c r="V111" s="464" t="e">
        <f>VLOOKUP(Tabla13[[#This Row],[Apoyo]],'LM SAP'!A:I,9,FALSE)</f>
        <v>#N/A</v>
      </c>
      <c r="W111" s="464" t="s">
        <v>234</v>
      </c>
      <c r="X111" s="466">
        <v>20</v>
      </c>
      <c r="Y111" s="464">
        <f>Tabla13[[#This Row],[ID]]</f>
        <v>101</v>
      </c>
    </row>
    <row r="112" spans="1:25" s="464" customFormat="1" ht="36" x14ac:dyDescent="0.25">
      <c r="A112" s="453">
        <v>102</v>
      </c>
      <c r="B112" s="454" t="s">
        <v>520</v>
      </c>
      <c r="C112" s="469" t="s">
        <v>2135</v>
      </c>
      <c r="D112" s="456" t="s">
        <v>478</v>
      </c>
      <c r="E112" s="457" t="s">
        <v>2136</v>
      </c>
      <c r="F112" s="458">
        <v>1</v>
      </c>
      <c r="G112" s="459"/>
      <c r="H112" s="460"/>
      <c r="I112" s="460" t="s">
        <v>2011</v>
      </c>
      <c r="J112" s="460"/>
      <c r="K112" s="460" t="s">
        <v>1411</v>
      </c>
      <c r="L112" s="460">
        <v>60004493</v>
      </c>
      <c r="M112" s="461">
        <v>45566</v>
      </c>
      <c r="N112" s="461">
        <v>45574</v>
      </c>
      <c r="O112" s="509" t="s">
        <v>523</v>
      </c>
      <c r="P112" s="463" t="str">
        <f>IF(LEFT(B112,5)="09735",
    IF(ISNA(VLOOKUP(Tabla13[[#This Row],[Apoyo]],'LM SAP'!A:G,1,FALSE)),
        "No Disponible",
        IF(VLOOKUP(Tabla13[[#This Row],[Apoyo]],'LM SAP'!A:AD,9,FALSE)="RR",
            "Disponible",
            "Firmas SAP"
        )
    ),
    "CONSULTAR"
)</f>
        <v>No Disponible</v>
      </c>
      <c r="Q112" s="460" t="str">
        <f>MID(Tabla13[[#This Row],[Código Indra]],1,13)</f>
        <v>0973545002500</v>
      </c>
      <c r="R112" s="464" t="str">
        <f>IF(ISNA(VLOOKUP(Tabla13[[#This Row],[Código Indra]],#REF!,1,FALSE)),"NO", "SI")</f>
        <v>SI</v>
      </c>
      <c r="S112" s="460" t="str">
        <f>IF(ISNA(VLOOKUP(Tabla13[[#This Row],[Código Indra]],Tabla132[[Código INDRA]:[Nombre]],1,FALSE)),"NO", "SI")</f>
        <v>SI</v>
      </c>
      <c r="T112" s="465" t="s">
        <v>2005</v>
      </c>
      <c r="U112" s="464" t="s">
        <v>256</v>
      </c>
      <c r="V112" s="464" t="e">
        <f>VLOOKUP(Tabla13[[#This Row],[Apoyo]],'LM SAP'!A:I,9,FALSE)</f>
        <v>#N/A</v>
      </c>
      <c r="W112" s="464" t="s">
        <v>234</v>
      </c>
      <c r="X112" s="466">
        <v>20</v>
      </c>
      <c r="Y112" s="464">
        <f>Tabla13[[#This Row],[ID]]</f>
        <v>102</v>
      </c>
    </row>
    <row r="113" spans="1:25" s="464" customFormat="1" ht="72" x14ac:dyDescent="0.25">
      <c r="A113" s="453">
        <v>103</v>
      </c>
      <c r="B113" s="454" t="s">
        <v>524</v>
      </c>
      <c r="C113" s="469" t="s">
        <v>2137</v>
      </c>
      <c r="D113" s="456" t="s">
        <v>478</v>
      </c>
      <c r="E113" s="457" t="s">
        <v>526</v>
      </c>
      <c r="F113" s="458">
        <v>1</v>
      </c>
      <c r="G113" s="459"/>
      <c r="H113" s="460"/>
      <c r="I113" s="460" t="s">
        <v>2011</v>
      </c>
      <c r="J113" s="460"/>
      <c r="K113" s="460" t="s">
        <v>1411</v>
      </c>
      <c r="L113" s="460">
        <v>60004494</v>
      </c>
      <c r="M113" s="461">
        <v>45566</v>
      </c>
      <c r="N113" s="461">
        <v>45573</v>
      </c>
      <c r="O113" s="470" t="s">
        <v>2138</v>
      </c>
      <c r="P113" s="463" t="str">
        <f>IF(LEFT(B113,5)="09735",
    IF(ISNA(VLOOKUP(Tabla13[[#This Row],[Apoyo]],'LM SAP'!A:G,1,FALSE)),
        "No Disponible",
        IF(VLOOKUP(Tabla13[[#This Row],[Apoyo]],'LM SAP'!A:AD,9,FALSE)="RR",
            "Disponible",
            "Firmas SAP"
        )
    ),
    "CONSULTAR"
)</f>
        <v>No Disponible</v>
      </c>
      <c r="Q113" s="460" t="str">
        <f>MID(Tabla13[[#This Row],[Código Indra]],1,13)</f>
        <v>0973545002600</v>
      </c>
      <c r="R113" s="464" t="str">
        <f>IF(ISNA(VLOOKUP(Tabla13[[#This Row],[Código Indra]],#REF!,1,FALSE)),"NO", "SI")</f>
        <v>SI</v>
      </c>
      <c r="S113" s="460" t="str">
        <f>IF(ISNA(VLOOKUP(Tabla13[[#This Row],[Código Indra]],Tabla132[[Código INDRA]:[Nombre]],1,FALSE)),"NO", "SI")</f>
        <v>SI</v>
      </c>
      <c r="T113" s="465" t="s">
        <v>2005</v>
      </c>
      <c r="U113" s="464" t="s">
        <v>256</v>
      </c>
      <c r="V113" s="464" t="e">
        <f>VLOOKUP(Tabla13[[#This Row],[Apoyo]],'LM SAP'!A:I,9,FALSE)</f>
        <v>#N/A</v>
      </c>
      <c r="W113" s="464" t="s">
        <v>234</v>
      </c>
      <c r="X113" s="466">
        <v>20</v>
      </c>
      <c r="Y113" s="464">
        <f>Tabla13[[#This Row],[ID]]</f>
        <v>103</v>
      </c>
    </row>
    <row r="114" spans="1:25" s="464" customFormat="1" ht="60" x14ac:dyDescent="0.25">
      <c r="A114" s="453">
        <v>104</v>
      </c>
      <c r="B114" s="454" t="s">
        <v>528</v>
      </c>
      <c r="C114" s="469" t="s">
        <v>2139</v>
      </c>
      <c r="D114" s="456" t="s">
        <v>478</v>
      </c>
      <c r="E114" s="457" t="s">
        <v>2140</v>
      </c>
      <c r="F114" s="458">
        <v>1</v>
      </c>
      <c r="G114" s="459"/>
      <c r="H114" s="460"/>
      <c r="I114" s="460" t="s">
        <v>2011</v>
      </c>
      <c r="J114" s="460"/>
      <c r="K114" s="460" t="s">
        <v>1411</v>
      </c>
      <c r="L114" s="460">
        <v>60004495</v>
      </c>
      <c r="M114" s="461">
        <v>45566</v>
      </c>
      <c r="N114" s="461">
        <v>45573</v>
      </c>
      <c r="O114" s="470" t="s">
        <v>531</v>
      </c>
      <c r="P114" s="463" t="str">
        <f>IF(LEFT(B114,5)="09735",
    IF(ISNA(VLOOKUP(Tabla13[[#This Row],[Apoyo]],'LM SAP'!A:G,1,FALSE)),
        "No Disponible",
        IF(VLOOKUP(Tabla13[[#This Row],[Apoyo]],'LM SAP'!A:AD,9,FALSE)="RR",
            "Disponible",
            "Firmas SAP"
        )
    ),
    "CONSULTAR"
)</f>
        <v>No Disponible</v>
      </c>
      <c r="Q114" s="460" t="str">
        <f>MID(Tabla13[[#This Row],[Código Indra]],1,13)</f>
        <v>0973545003000</v>
      </c>
      <c r="R114" s="464" t="str">
        <f>IF(ISNA(VLOOKUP(Tabla13[[#This Row],[Código Indra]],#REF!,1,FALSE)),"NO", "SI")</f>
        <v>SI</v>
      </c>
      <c r="S114" s="460" t="str">
        <f>IF(ISNA(VLOOKUP(Tabla13[[#This Row],[Código Indra]],Tabla132[[Código INDRA]:[Nombre]],1,FALSE)),"NO", "SI")</f>
        <v>SI</v>
      </c>
      <c r="T114" s="465" t="s">
        <v>2005</v>
      </c>
      <c r="U114" s="464" t="s">
        <v>256</v>
      </c>
      <c r="V114" s="464" t="e">
        <f>VLOOKUP(Tabla13[[#This Row],[Apoyo]],'LM SAP'!A:I,9,FALSE)</f>
        <v>#N/A</v>
      </c>
      <c r="W114" s="464" t="s">
        <v>234</v>
      </c>
      <c r="X114" s="466">
        <v>20</v>
      </c>
      <c r="Y114" s="464">
        <f>Tabla13[[#This Row],[ID]]</f>
        <v>104</v>
      </c>
    </row>
    <row r="115" spans="1:25" s="464" customFormat="1" ht="36" x14ac:dyDescent="0.25">
      <c r="A115" s="453">
        <v>105</v>
      </c>
      <c r="B115" s="480" t="s">
        <v>73</v>
      </c>
      <c r="C115" s="455" t="s">
        <v>1269</v>
      </c>
      <c r="D115" s="456"/>
      <c r="E115" s="457" t="s">
        <v>2141</v>
      </c>
      <c r="F115" s="458">
        <v>1</v>
      </c>
      <c r="G115" s="459"/>
      <c r="H115" s="460" t="s">
        <v>2000</v>
      </c>
      <c r="I115" s="460" t="s">
        <v>276</v>
      </c>
      <c r="J115" s="460"/>
      <c r="K115" s="460" t="s">
        <v>1411</v>
      </c>
      <c r="L115" s="460">
        <v>60005255</v>
      </c>
      <c r="M115" s="461">
        <v>45630</v>
      </c>
      <c r="N115" s="461">
        <v>45665</v>
      </c>
      <c r="O115" s="467" t="s">
        <v>2142</v>
      </c>
      <c r="P115" s="463" t="str">
        <f>IF(LEFT(B115,5)="09735",
    IF(ISNA(VLOOKUP(Tabla13[[#This Row],[Apoyo]],'LM SAP'!A:G,1,FALSE)),
        "No Disponible",
        IF(VLOOKUP(Tabla13[[#This Row],[Apoyo]],'LM SAP'!A:AD,9,FALSE)="RR",
            "Disponible",
            "Firmas SAP"
        )
    ),
    "CONSULTAR"
)</f>
        <v>No Disponible</v>
      </c>
      <c r="Q115" s="460" t="str">
        <f>MID(Tabla13[[#This Row],[Código Indra]],1,13)</f>
        <v>0973524190100</v>
      </c>
      <c r="R115" s="464" t="str">
        <f>IF(ISNA(VLOOKUP(Tabla13[[#This Row],[Código Indra]],#REF!,1,FALSE)),"NO", "SI")</f>
        <v>SI</v>
      </c>
      <c r="S115" s="460" t="str">
        <f>IF(ISNA(VLOOKUP(Tabla13[[#This Row],[Código Indra]],Tabla132[[Código INDRA]:[Nombre]],1,FALSE)),"NO", "SI")</f>
        <v>NO</v>
      </c>
      <c r="T115" s="465" t="s">
        <v>2005</v>
      </c>
      <c r="U115" s="464" t="s">
        <v>227</v>
      </c>
      <c r="V115" s="464" t="e">
        <f>VLOOKUP(Tabla13[[#This Row],[Apoyo]],'LM SAP'!A:I,9,FALSE)</f>
        <v>#N/A</v>
      </c>
      <c r="W115" s="464" t="s">
        <v>234</v>
      </c>
      <c r="X115" s="466">
        <v>0</v>
      </c>
      <c r="Y115" s="464">
        <f>Tabla13[[#This Row],[ID]]</f>
        <v>105</v>
      </c>
    </row>
    <row r="116" spans="1:25" s="464" customFormat="1" ht="24" x14ac:dyDescent="0.25">
      <c r="A116" s="453">
        <v>106</v>
      </c>
      <c r="B116" s="454" t="s">
        <v>687</v>
      </c>
      <c r="C116" s="469" t="s">
        <v>2143</v>
      </c>
      <c r="D116" s="456" t="s">
        <v>604</v>
      </c>
      <c r="E116" s="457" t="s">
        <v>2144</v>
      </c>
      <c r="F116" s="458">
        <v>1</v>
      </c>
      <c r="G116" s="459"/>
      <c r="H116" s="460"/>
      <c r="I116" s="460" t="s">
        <v>276</v>
      </c>
      <c r="J116" s="460"/>
      <c r="K116" s="460" t="s">
        <v>1411</v>
      </c>
      <c r="L116" s="460">
        <v>60004502</v>
      </c>
      <c r="M116" s="461">
        <v>45607</v>
      </c>
      <c r="N116" s="461">
        <v>45624</v>
      </c>
      <c r="O116" s="470" t="s">
        <v>689</v>
      </c>
      <c r="P116" s="463" t="str">
        <f>IF(LEFT(B116,5)="09735",
    IF(ISNA(VLOOKUP(Tabla13[[#This Row],[Apoyo]],'LM SAP'!A:G,1,FALSE)),
        "No Disponible",
        IF(VLOOKUP(Tabla13[[#This Row],[Apoyo]],'LM SAP'!A:AD,9,FALSE)="RR",
            "Disponible",
            "Firmas SAP"
        )
    ),
    "CONSULTAR"
)</f>
        <v>No Disponible</v>
      </c>
      <c r="Q116" s="460" t="str">
        <f>MID(Tabla13[[#This Row],[Código Indra]],1,13)</f>
        <v>0973545042100</v>
      </c>
      <c r="R116" s="464" t="str">
        <f>IF(ISNA(VLOOKUP(Tabla13[[#This Row],[Código Indra]],#REF!,1,FALSE)),"NO", "SI")</f>
        <v>SI</v>
      </c>
      <c r="S116" s="460" t="str">
        <f>IF(ISNA(VLOOKUP(Tabla13[[#This Row],[Código Indra]],Tabla132[[Código INDRA]:[Nombre]],1,FALSE)),"NO", "SI")</f>
        <v>SI</v>
      </c>
      <c r="T116" s="465" t="s">
        <v>2005</v>
      </c>
      <c r="U116" s="464" t="s">
        <v>256</v>
      </c>
      <c r="V116" s="464" t="e">
        <f>VLOOKUP(Tabla13[[#This Row],[Apoyo]],'LM SAP'!A:I,9,FALSE)</f>
        <v>#N/A</v>
      </c>
      <c r="W116" s="464" t="s">
        <v>234</v>
      </c>
      <c r="X116" s="466">
        <v>0</v>
      </c>
      <c r="Y116" s="464">
        <f>Tabla13[[#This Row],[ID]]</f>
        <v>106</v>
      </c>
    </row>
    <row r="117" spans="1:25" s="464" customFormat="1" ht="24" x14ac:dyDescent="0.25">
      <c r="A117" s="453">
        <v>107</v>
      </c>
      <c r="B117" s="454" t="s">
        <v>891</v>
      </c>
      <c r="C117" s="469" t="s">
        <v>1770</v>
      </c>
      <c r="D117" s="456" t="s">
        <v>604</v>
      </c>
      <c r="E117" s="457" t="s">
        <v>2145</v>
      </c>
      <c r="F117" s="458">
        <v>1</v>
      </c>
      <c r="G117" s="459"/>
      <c r="H117" s="460"/>
      <c r="I117" s="460" t="s">
        <v>276</v>
      </c>
      <c r="J117" s="460"/>
      <c r="K117" s="460" t="s">
        <v>1411</v>
      </c>
      <c r="L117" s="460">
        <v>60004496</v>
      </c>
      <c r="M117" s="461">
        <v>45566</v>
      </c>
      <c r="N117" s="461">
        <v>45573</v>
      </c>
      <c r="O117" s="470" t="s">
        <v>281</v>
      </c>
      <c r="P117" s="463" t="str">
        <f>IF(LEFT(B117,5)="09735",
    IF(ISNA(VLOOKUP(Tabla13[[#This Row],[Apoyo]],'LM SAP'!A:G,1,FALSE)),
        "No Disponible",
        IF(VLOOKUP(Tabla13[[#This Row],[Apoyo]],'LM SAP'!A:AD,9,FALSE)="RR",
            "Disponible",
            "Firmas SAP"
        )
    ),
    "CONSULTAR"
)</f>
        <v>CONSULTAR</v>
      </c>
      <c r="Q117" s="460" t="str">
        <f>MID(Tabla13[[#This Row],[Código Indra]],1,13)</f>
        <v>0972845042300</v>
      </c>
      <c r="R117" s="464" t="str">
        <f>IF(ISNA(VLOOKUP(Tabla13[[#This Row],[Código Indra]],#REF!,1,FALSE)),"NO", "SI")</f>
        <v>SI</v>
      </c>
      <c r="S117" s="460" t="str">
        <f>IF(ISNA(VLOOKUP(Tabla13[[#This Row],[Código Indra]],Tabla132[[Código INDRA]:[Nombre]],1,FALSE)),"NO", "SI")</f>
        <v>SI</v>
      </c>
      <c r="T117" s="465" t="s">
        <v>2005</v>
      </c>
      <c r="U117" s="464" t="s">
        <v>256</v>
      </c>
      <c r="V117" s="464" t="e">
        <f>VLOOKUP(Tabla13[[#This Row],[Apoyo]],'LM SAP'!A:I,9,FALSE)</f>
        <v>#N/A</v>
      </c>
      <c r="X117" s="466">
        <v>0</v>
      </c>
      <c r="Y117" s="464">
        <f>Tabla13[[#This Row],[ID]]</f>
        <v>107</v>
      </c>
    </row>
    <row r="118" spans="1:25" s="464" customFormat="1" ht="36" x14ac:dyDescent="0.25">
      <c r="A118" s="453">
        <v>108</v>
      </c>
      <c r="B118" s="454" t="s">
        <v>893</v>
      </c>
      <c r="C118" s="469" t="s">
        <v>1772</v>
      </c>
      <c r="D118" s="456" t="s">
        <v>604</v>
      </c>
      <c r="E118" s="457" t="s">
        <v>2146</v>
      </c>
      <c r="F118" s="458">
        <v>1</v>
      </c>
      <c r="G118" s="459"/>
      <c r="H118" s="460"/>
      <c r="I118" s="460" t="s">
        <v>276</v>
      </c>
      <c r="J118" s="460"/>
      <c r="K118" s="460" t="s">
        <v>1411</v>
      </c>
      <c r="L118" s="460">
        <v>60004497</v>
      </c>
      <c r="M118" s="461">
        <v>45566</v>
      </c>
      <c r="N118" s="461">
        <v>45581</v>
      </c>
      <c r="O118" s="470" t="s">
        <v>896</v>
      </c>
      <c r="P118" s="463" t="str">
        <f>IF(LEFT(B118,5)="09735",
    IF(ISNA(VLOOKUP(Tabla13[[#This Row],[Apoyo]],'LM SAP'!A:G,1,FALSE)),
        "No Disponible",
        IF(VLOOKUP(Tabla13[[#This Row],[Apoyo]],'LM SAP'!A:AD,9,FALSE)="RR",
            "Disponible",
            "Firmas SAP"
        )
    ),
    "CONSULTAR"
)</f>
        <v>CONSULTAR</v>
      </c>
      <c r="Q118" s="460" t="str">
        <f>MID(Tabla13[[#This Row],[Código Indra]],1,13)</f>
        <v>0972845042400</v>
      </c>
      <c r="R118" s="464" t="str">
        <f>IF(ISNA(VLOOKUP(Tabla13[[#This Row],[Código Indra]],#REF!,1,FALSE)),"NO", "SI")</f>
        <v>SI</v>
      </c>
      <c r="S118" s="460" t="str">
        <f>IF(ISNA(VLOOKUP(Tabla13[[#This Row],[Código Indra]],Tabla132[[Código INDRA]:[Nombre]],1,FALSE)),"NO", "SI")</f>
        <v>SI</v>
      </c>
      <c r="T118" s="465" t="s">
        <v>2147</v>
      </c>
      <c r="U118" s="464" t="s">
        <v>256</v>
      </c>
      <c r="V118" s="464" t="e">
        <f>VLOOKUP(Tabla13[[#This Row],[Apoyo]],'LM SAP'!A:I,9,FALSE)</f>
        <v>#N/A</v>
      </c>
      <c r="X118" s="466">
        <v>0</v>
      </c>
      <c r="Y118" s="464">
        <f>Tabla13[[#This Row],[ID]]</f>
        <v>108</v>
      </c>
    </row>
    <row r="119" spans="1:25" s="464" customFormat="1" ht="36" x14ac:dyDescent="0.25">
      <c r="A119" s="453">
        <v>109</v>
      </c>
      <c r="B119" s="454" t="s">
        <v>897</v>
      </c>
      <c r="C119" s="469" t="s">
        <v>1774</v>
      </c>
      <c r="D119" s="456" t="s">
        <v>604</v>
      </c>
      <c r="E119" s="457" t="s">
        <v>2148</v>
      </c>
      <c r="F119" s="458">
        <v>1</v>
      </c>
      <c r="G119" s="459"/>
      <c r="H119" s="460"/>
      <c r="I119" s="460" t="s">
        <v>276</v>
      </c>
      <c r="J119" s="460"/>
      <c r="K119" s="460" t="s">
        <v>1411</v>
      </c>
      <c r="L119" s="460">
        <v>60004498</v>
      </c>
      <c r="M119" s="461">
        <v>45566</v>
      </c>
      <c r="N119" s="461">
        <v>45581</v>
      </c>
      <c r="O119" s="470" t="s">
        <v>900</v>
      </c>
      <c r="P119" s="463" t="str">
        <f>IF(LEFT(B119,5)="09735",
    IF(ISNA(VLOOKUP(Tabla13[[#This Row],[Apoyo]],'LM SAP'!A:G,1,FALSE)),
        "No Disponible",
        IF(VLOOKUP(Tabla13[[#This Row],[Apoyo]],'LM SAP'!A:AD,9,FALSE)="RR",
            "Disponible",
            "Firmas SAP"
        )
    ),
    "CONSULTAR"
)</f>
        <v>CONSULTAR</v>
      </c>
      <c r="Q119" s="460" t="str">
        <f>MID(Tabla13[[#This Row],[Código Indra]],1,13)</f>
        <v>0972845042500</v>
      </c>
      <c r="R119" s="464" t="str">
        <f>IF(ISNA(VLOOKUP(Tabla13[[#This Row],[Código Indra]],#REF!,1,FALSE)),"NO", "SI")</f>
        <v>SI</v>
      </c>
      <c r="S119" s="460" t="str">
        <f>IF(ISNA(VLOOKUP(Tabla13[[#This Row],[Código Indra]],Tabla132[[Código INDRA]:[Nombre]],1,FALSE)),"NO", "SI")</f>
        <v>SI</v>
      </c>
      <c r="T119" s="465" t="s">
        <v>2005</v>
      </c>
      <c r="U119" s="464" t="s">
        <v>256</v>
      </c>
      <c r="V119" s="464" t="e">
        <f>VLOOKUP(Tabla13[[#This Row],[Apoyo]],'LM SAP'!A:I,9,FALSE)</f>
        <v>#N/A</v>
      </c>
      <c r="X119" s="466">
        <v>0</v>
      </c>
      <c r="Y119" s="464">
        <f>Tabla13[[#This Row],[ID]]</f>
        <v>109</v>
      </c>
    </row>
    <row r="120" spans="1:25" s="464" customFormat="1" ht="168" x14ac:dyDescent="0.25">
      <c r="A120" s="453">
        <v>110</v>
      </c>
      <c r="B120" s="471" t="s">
        <v>30</v>
      </c>
      <c r="C120" s="455" t="s">
        <v>31</v>
      </c>
      <c r="D120" s="456" t="s">
        <v>190</v>
      </c>
      <c r="E120" s="457" t="s">
        <v>2149</v>
      </c>
      <c r="F120" s="458">
        <v>1</v>
      </c>
      <c r="G120" s="459"/>
      <c r="H120" s="460" t="s">
        <v>2000</v>
      </c>
      <c r="I120" s="460" t="s">
        <v>2011</v>
      </c>
      <c r="J120" s="460" t="s">
        <v>1318</v>
      </c>
      <c r="K120" s="460" t="s">
        <v>220</v>
      </c>
      <c r="L120" s="460">
        <v>60005309</v>
      </c>
      <c r="M120" s="461">
        <v>45634</v>
      </c>
      <c r="N120" s="461">
        <v>45638</v>
      </c>
      <c r="O120" s="470" t="s">
        <v>2150</v>
      </c>
      <c r="P120" s="463" t="str">
        <f>IF(LEFT(B120,5)="09735",
    IF(ISNA(VLOOKUP(Tabla13[[#This Row],[Apoyo]],'LM SAP'!A:G,1,FALSE)),
        "No Disponible",
        IF(VLOOKUP(Tabla13[[#This Row],[Apoyo]],'LM SAP'!A:AD,9,FALSE)="RR",
            "Disponible",
            "Firmas SAP"
        )
    ),
    "CONSULTAR"
)</f>
        <v>No Disponible</v>
      </c>
      <c r="Q120" s="460" t="str">
        <f>MID(Tabla13[[#This Row],[Código Indra]],1,13)</f>
        <v>0973525200000</v>
      </c>
      <c r="R120" s="464" t="str">
        <f>IF(ISNA(VLOOKUP(Tabla13[[#This Row],[Código Indra]],#REF!,1,FALSE)),"NO", "SI")</f>
        <v>SI</v>
      </c>
      <c r="S120" s="460" t="str">
        <f>IF(ISNA(VLOOKUP(Tabla13[[#This Row],[Código Indra]],Tabla132[[Código INDRA]:[Nombre]],1,FALSE)),"NO", "SI")</f>
        <v>SI</v>
      </c>
      <c r="T120" s="465"/>
      <c r="U120" s="464" t="s">
        <v>227</v>
      </c>
      <c r="V120" s="464" t="e">
        <f>VLOOKUP(Tabla13[[#This Row],[Apoyo]],'LM SAP'!A:I,9,FALSE)</f>
        <v>#N/A</v>
      </c>
      <c r="W120" s="464" t="s">
        <v>234</v>
      </c>
      <c r="X120" s="466"/>
      <c r="Y120" s="464">
        <f>Tabla13[[#This Row],[ID]]</f>
        <v>110</v>
      </c>
    </row>
    <row r="121" spans="1:25" s="464" customFormat="1" ht="72" x14ac:dyDescent="0.25">
      <c r="A121" s="453">
        <v>111</v>
      </c>
      <c r="B121" s="454" t="s">
        <v>434</v>
      </c>
      <c r="C121" s="469" t="s">
        <v>435</v>
      </c>
      <c r="D121" s="456" t="s">
        <v>31</v>
      </c>
      <c r="E121" s="457" t="s">
        <v>2151</v>
      </c>
      <c r="F121" s="458">
        <v>1</v>
      </c>
      <c r="G121" s="459"/>
      <c r="H121" s="460"/>
      <c r="I121" s="460" t="s">
        <v>276</v>
      </c>
      <c r="J121" s="460" t="s">
        <v>1318</v>
      </c>
      <c r="K121" s="460" t="s">
        <v>1411</v>
      </c>
      <c r="L121" s="460">
        <v>60005547</v>
      </c>
      <c r="M121" s="461">
        <v>45678</v>
      </c>
      <c r="N121" s="461">
        <v>45688</v>
      </c>
      <c r="O121" s="476" t="s">
        <v>2152</v>
      </c>
      <c r="P121" s="463" t="str">
        <f>IF(LEFT(B121,5)="09735",
    IF(ISNA(VLOOKUP(Tabla13[[#This Row],[Apoyo]],'LM SAP'!A:G,1,FALSE)),
        "No Disponible",
        IF(VLOOKUP(Tabla13[[#This Row],[Apoyo]],'LM SAP'!A:AD,9,FALSE)="RR",
            "Disponible",
            "Firmas SAP"
        )
    ),
    "CONSULTAR"
)</f>
        <v>No Disponible</v>
      </c>
      <c r="Q121" s="460" t="str">
        <f>MID(Tabla13[[#This Row],[Código Indra]],1,13)</f>
        <v>0973525201000</v>
      </c>
      <c r="R121" s="464" t="str">
        <f>IF(ISNA(VLOOKUP(Tabla13[[#This Row],[Código Indra]],#REF!,1,FALSE)),"NO", "SI")</f>
        <v>SI</v>
      </c>
      <c r="S121" s="460" t="str">
        <f>IF(ISNA(VLOOKUP(Tabla13[[#This Row],[Código Indra]],Tabla132[[Código INDRA]:[Nombre]],1,FALSE)),"NO", "SI")</f>
        <v>SI</v>
      </c>
      <c r="T121" s="465" t="s">
        <v>2005</v>
      </c>
      <c r="U121" s="464" t="s">
        <v>256</v>
      </c>
      <c r="V121" s="464" t="e">
        <f>VLOOKUP(Tabla13[[#This Row],[Apoyo]],'LM SAP'!A:I,9,FALSE)</f>
        <v>#N/A</v>
      </c>
      <c r="W121" s="464" t="s">
        <v>234</v>
      </c>
      <c r="X121" s="466">
        <v>160</v>
      </c>
      <c r="Y121" s="464">
        <f>Tabla13[[#This Row],[ID]]</f>
        <v>111</v>
      </c>
    </row>
    <row r="122" spans="1:25" s="464" customFormat="1" ht="48" x14ac:dyDescent="0.25">
      <c r="A122" s="453">
        <v>112</v>
      </c>
      <c r="B122" s="454" t="s">
        <v>708</v>
      </c>
      <c r="C122" s="469" t="s">
        <v>709</v>
      </c>
      <c r="D122" s="456" t="s">
        <v>31</v>
      </c>
      <c r="E122" s="457" t="s">
        <v>2153</v>
      </c>
      <c r="F122" s="458">
        <v>1</v>
      </c>
      <c r="G122" s="459"/>
      <c r="H122" s="460"/>
      <c r="I122" s="460" t="s">
        <v>2011</v>
      </c>
      <c r="J122" s="460" t="s">
        <v>1318</v>
      </c>
      <c r="K122" s="460" t="s">
        <v>1411</v>
      </c>
      <c r="L122" s="460">
        <v>60005167</v>
      </c>
      <c r="M122" s="461">
        <v>45621</v>
      </c>
      <c r="N122" s="461">
        <v>45631</v>
      </c>
      <c r="O122" s="470" t="s">
        <v>711</v>
      </c>
      <c r="P122" s="463" t="str">
        <f>IF(LEFT(B122,5)="09735",
    IF(ISNA(VLOOKUP(Tabla13[[#This Row],[Apoyo]],'LM SAP'!A:G,1,FALSE)),
        "No Disponible",
        IF(VLOOKUP(Tabla13[[#This Row],[Apoyo]],'LM SAP'!A:AD,9,FALSE)="RR",
            "Disponible",
            "Firmas SAP"
        )
    ),
    "CONSULTAR"
)</f>
        <v>No Disponible</v>
      </c>
      <c r="Q122" s="460" t="str">
        <f>MID(Tabla13[[#This Row],[Código Indra]],1,13)</f>
        <v>0973525201600</v>
      </c>
      <c r="R122" s="464" t="str">
        <f>IF(ISNA(VLOOKUP(Tabla13[[#This Row],[Código Indra]],#REF!,1,FALSE)),"NO", "SI")</f>
        <v>SI</v>
      </c>
      <c r="S122" s="460" t="str">
        <f>IF(ISNA(VLOOKUP(Tabla13[[#This Row],[Código Indra]],Tabla132[[Código INDRA]:[Nombre]],1,FALSE)),"NO", "SI")</f>
        <v>SI</v>
      </c>
      <c r="T122" s="465" t="s">
        <v>2005</v>
      </c>
      <c r="U122" s="464" t="s">
        <v>256</v>
      </c>
      <c r="V122" s="464" t="e">
        <f>VLOOKUP(Tabla13[[#This Row],[Apoyo]],'LM SAP'!A:I,9,FALSE)</f>
        <v>#N/A</v>
      </c>
      <c r="W122" s="464" t="s">
        <v>234</v>
      </c>
      <c r="X122" s="466">
        <v>60</v>
      </c>
      <c r="Y122" s="464">
        <f>Tabla13[[#This Row],[ID]]</f>
        <v>112</v>
      </c>
    </row>
    <row r="123" spans="1:25" s="464" customFormat="1" ht="36" x14ac:dyDescent="0.25">
      <c r="A123" s="453">
        <v>113</v>
      </c>
      <c r="B123" s="454" t="s">
        <v>615</v>
      </c>
      <c r="C123" s="469" t="s">
        <v>616</v>
      </c>
      <c r="D123" s="456" t="s">
        <v>31</v>
      </c>
      <c r="E123" s="457" t="s">
        <v>2154</v>
      </c>
      <c r="F123" s="458">
        <v>1</v>
      </c>
      <c r="G123" s="459"/>
      <c r="H123" s="460"/>
      <c r="I123" s="460" t="s">
        <v>2011</v>
      </c>
      <c r="J123" s="460" t="s">
        <v>1318</v>
      </c>
      <c r="K123" s="460" t="s">
        <v>1411</v>
      </c>
      <c r="L123" s="460">
        <v>60004557</v>
      </c>
      <c r="M123" s="461">
        <v>45572</v>
      </c>
      <c r="N123" s="461">
        <v>45635</v>
      </c>
      <c r="O123" s="470" t="s">
        <v>618</v>
      </c>
      <c r="P123" s="463" t="str">
        <f>IF(LEFT(B123,5)="09735",
    IF(ISNA(VLOOKUP(Tabla13[[#This Row],[Apoyo]],'LM SAP'!A:G,1,FALSE)),
        "No Disponible",
        IF(VLOOKUP(Tabla13[[#This Row],[Apoyo]],'LM SAP'!A:AD,9,FALSE)="RR",
            "Disponible",
            "Firmas SAP"
        )
    ),
    "CONSULTAR"
)</f>
        <v>CONSULTAR</v>
      </c>
      <c r="Q123" s="460" t="str">
        <f>MID(Tabla13[[#This Row],[Código Indra]],1,13)</f>
        <v>0972825201800</v>
      </c>
      <c r="R123" s="464" t="str">
        <f>IF(ISNA(VLOOKUP(Tabla13[[#This Row],[Código Indra]],#REF!,1,FALSE)),"NO", "SI")</f>
        <v>SI</v>
      </c>
      <c r="S123" s="460" t="str">
        <f>IF(ISNA(VLOOKUP(Tabla13[[#This Row],[Código Indra]],Tabla132[[Código INDRA]:[Nombre]],1,FALSE)),"NO", "SI")</f>
        <v>SI</v>
      </c>
      <c r="T123" s="465" t="s">
        <v>2005</v>
      </c>
      <c r="U123" s="464" t="s">
        <v>256</v>
      </c>
      <c r="V123" s="464" t="e">
        <f>VLOOKUP(Tabla13[[#This Row],[Apoyo]],'LM SAP'!A:I,9,FALSE)</f>
        <v>#N/A</v>
      </c>
      <c r="W123" s="464" t="s">
        <v>234</v>
      </c>
      <c r="X123" s="466">
        <v>8</v>
      </c>
      <c r="Y123" s="464">
        <f>Tabla13[[#This Row],[ID]]</f>
        <v>113</v>
      </c>
    </row>
    <row r="124" spans="1:25" s="464" customFormat="1" ht="36" x14ac:dyDescent="0.25">
      <c r="A124" s="453">
        <v>114</v>
      </c>
      <c r="B124" s="454" t="s">
        <v>619</v>
      </c>
      <c r="C124" s="469" t="s">
        <v>620</v>
      </c>
      <c r="D124" s="456" t="s">
        <v>31</v>
      </c>
      <c r="E124" s="457" t="s">
        <v>2155</v>
      </c>
      <c r="F124" s="458">
        <v>1</v>
      </c>
      <c r="G124" s="459"/>
      <c r="H124" s="460"/>
      <c r="I124" s="460" t="s">
        <v>251</v>
      </c>
      <c r="J124" s="460"/>
      <c r="K124" s="460" t="s">
        <v>1411</v>
      </c>
      <c r="L124" s="460">
        <v>60005649</v>
      </c>
      <c r="M124" s="461">
        <v>45681</v>
      </c>
      <c r="N124" s="461">
        <v>45750</v>
      </c>
      <c r="O124" s="470" t="s">
        <v>2156</v>
      </c>
      <c r="P124" s="463" t="str">
        <f>IF(LEFT(B124,5)="09735",
    IF(ISNA(VLOOKUP(Tabla13[[#This Row],[Apoyo]],'LM SAP'!A:G,1,FALSE)),
        "No Disponible",
        IF(VLOOKUP(Tabla13[[#This Row],[Apoyo]],'LM SAP'!A:AD,9,FALSE)="RR",
            "Disponible",
            "Firmas SAP"
        )
    ),
    "CONSULTAR"
)</f>
        <v>Disponible</v>
      </c>
      <c r="Q124" s="460" t="str">
        <f>MID(Tabla13[[#This Row],[Código Indra]],1,13)</f>
        <v>0973525203200</v>
      </c>
      <c r="R124" s="464" t="str">
        <f>IF(ISNA(VLOOKUP(Tabla13[[#This Row],[Código Indra]],#REF!,1,FALSE)),"NO", "SI")</f>
        <v>SI</v>
      </c>
      <c r="S124" s="460" t="str">
        <f>IF(ISNA(VLOOKUP(Tabla13[[#This Row],[Código Indra]],Tabla132[[Código INDRA]:[Nombre]],1,FALSE)),"NO", "SI")</f>
        <v>SI</v>
      </c>
      <c r="T124" s="465"/>
      <c r="U124" s="510" t="s">
        <v>256</v>
      </c>
      <c r="V124" s="464" t="str">
        <f>VLOOKUP(Tabla13[[#This Row],[Apoyo]],'LM SAP'!A:I,9,FALSE)</f>
        <v>RR</v>
      </c>
      <c r="X124" s="466"/>
      <c r="Y124" s="464">
        <f>Tabla13[[#This Row],[ID]]</f>
        <v>114</v>
      </c>
    </row>
    <row r="125" spans="1:25" s="464" customFormat="1" ht="36" x14ac:dyDescent="0.25">
      <c r="A125" s="453">
        <v>115</v>
      </c>
      <c r="B125" s="454" t="s">
        <v>1783</v>
      </c>
      <c r="C125" s="469" t="s">
        <v>620</v>
      </c>
      <c r="D125" s="456" t="s">
        <v>31</v>
      </c>
      <c r="E125" s="457" t="s">
        <v>2157</v>
      </c>
      <c r="F125" s="458">
        <v>1</v>
      </c>
      <c r="G125" s="459"/>
      <c r="H125" s="460" t="s">
        <v>2000</v>
      </c>
      <c r="I125" s="460" t="s">
        <v>251</v>
      </c>
      <c r="J125" s="460" t="s">
        <v>1318</v>
      </c>
      <c r="K125" s="460" t="s">
        <v>1521</v>
      </c>
      <c r="L125" s="460">
        <v>60004993</v>
      </c>
      <c r="M125" s="461">
        <v>45615</v>
      </c>
      <c r="N125" s="461"/>
      <c r="O125" s="470" t="s">
        <v>2158</v>
      </c>
      <c r="P125" s="463" t="str">
        <f>IF(LEFT(B125,5)="09735",
    IF(ISNA(VLOOKUP(Tabla13[[#This Row],[Apoyo]],'LM SAP'!A:G,1,FALSE)),
        "No Disponible",
        IF(VLOOKUP(Tabla13[[#This Row],[Apoyo]],'LM SAP'!A:AD,9,FALSE)="RR",
            "Disponible",
            "Firmas SAP"
        )
    ),
    "CONSULTAR"
)</f>
        <v>CONSULTAR</v>
      </c>
      <c r="Q125" s="460" t="str">
        <f>MID(Tabla13[[#This Row],[Código Indra]],1,13)</f>
        <v>0972825203200</v>
      </c>
      <c r="R125" s="464" t="str">
        <f>IF(ISNA(VLOOKUP(Tabla13[[#This Row],[Código Indra]],#REF!,1,FALSE)),"NO", "SI")</f>
        <v>SI</v>
      </c>
      <c r="S125" s="460" t="str">
        <f>IF(ISNA(VLOOKUP(Tabla13[[#This Row],[Código Indra]],Tabla132[[Código INDRA]:[Nombre]],1,FALSE)),"NO", "SI")</f>
        <v>SI</v>
      </c>
      <c r="T125" s="465" t="s">
        <v>474</v>
      </c>
      <c r="U125" s="511" t="s">
        <v>256</v>
      </c>
      <c r="V125" s="464" t="e">
        <f>VLOOKUP(Tabla13[[#This Row],[Apoyo]],'LM SAP'!A:I,9,FALSE)</f>
        <v>#N/A</v>
      </c>
      <c r="X125" s="466">
        <v>8</v>
      </c>
      <c r="Y125" s="464">
        <f>Tabla13[[#This Row],[ID]]</f>
        <v>115</v>
      </c>
    </row>
    <row r="126" spans="1:25" s="464" customFormat="1" x14ac:dyDescent="0.25">
      <c r="A126" s="453">
        <v>116</v>
      </c>
      <c r="B126" s="454" t="s">
        <v>624</v>
      </c>
      <c r="C126" s="469" t="s">
        <v>625</v>
      </c>
      <c r="D126" s="456" t="s">
        <v>31</v>
      </c>
      <c r="E126" s="457" t="s">
        <v>700</v>
      </c>
      <c r="F126" s="458">
        <v>1</v>
      </c>
      <c r="G126" s="459"/>
      <c r="H126" s="460"/>
      <c r="I126" s="460" t="s">
        <v>251</v>
      </c>
      <c r="J126" s="460" t="s">
        <v>1318</v>
      </c>
      <c r="K126" s="460" t="s">
        <v>1411</v>
      </c>
      <c r="L126" s="460">
        <v>60004558</v>
      </c>
      <c r="M126" s="461">
        <v>45572</v>
      </c>
      <c r="N126" s="461">
        <v>45588</v>
      </c>
      <c r="O126" s="470" t="s">
        <v>281</v>
      </c>
      <c r="P126" s="463" t="str">
        <f>IF(LEFT(B126,5)="09735",
    IF(ISNA(VLOOKUP(Tabla13[[#This Row],[Apoyo]],'LM SAP'!A:G,1,FALSE)),
        "No Disponible",
        IF(VLOOKUP(Tabla13[[#This Row],[Apoyo]],'LM SAP'!A:AD,9,FALSE)="RR",
            "Disponible",
            "Firmas SAP"
        )
    ),
    "CONSULTAR"
)</f>
        <v>CONSULTAR</v>
      </c>
      <c r="Q126" s="460" t="str">
        <f>MID(Tabla13[[#This Row],[Código Indra]],1,13)</f>
        <v>0972825203400</v>
      </c>
      <c r="R126" s="464" t="str">
        <f>IF(ISNA(VLOOKUP(Tabla13[[#This Row],[Código Indra]],#REF!,1,FALSE)),"NO", "SI")</f>
        <v>SI</v>
      </c>
      <c r="S126" s="460" t="str">
        <f>IF(ISNA(VLOOKUP(Tabla13[[#This Row],[Código Indra]],Tabla132[[Código INDRA]:[Nombre]],1,FALSE)),"NO", "SI")</f>
        <v>NO</v>
      </c>
      <c r="T126" s="465" t="s">
        <v>2159</v>
      </c>
      <c r="U126" s="464" t="s">
        <v>256</v>
      </c>
      <c r="V126" s="464" t="e">
        <f>VLOOKUP(Tabla13[[#This Row],[Apoyo]],'LM SAP'!A:I,9,FALSE)</f>
        <v>#N/A</v>
      </c>
      <c r="X126" s="466">
        <v>4</v>
      </c>
      <c r="Y126" s="464">
        <f>Tabla13[[#This Row],[ID]]</f>
        <v>116</v>
      </c>
    </row>
    <row r="127" spans="1:25" s="464" customFormat="1" ht="36" x14ac:dyDescent="0.25">
      <c r="A127" s="453">
        <v>117</v>
      </c>
      <c r="B127" s="454" t="s">
        <v>632</v>
      </c>
      <c r="C127" s="469" t="s">
        <v>633</v>
      </c>
      <c r="D127" s="456" t="s">
        <v>31</v>
      </c>
      <c r="E127" s="457" t="s">
        <v>2090</v>
      </c>
      <c r="F127" s="458">
        <v>6</v>
      </c>
      <c r="G127" s="459"/>
      <c r="H127" s="460"/>
      <c r="I127" s="460" t="s">
        <v>276</v>
      </c>
      <c r="J127" s="460" t="s">
        <v>474</v>
      </c>
      <c r="K127" s="460" t="s">
        <v>1411</v>
      </c>
      <c r="L127" s="460">
        <v>60004563</v>
      </c>
      <c r="M127" s="461">
        <v>45572</v>
      </c>
      <c r="N127" s="461">
        <v>45679</v>
      </c>
      <c r="O127" s="470" t="s">
        <v>2091</v>
      </c>
      <c r="P127" s="463" t="str">
        <f>IF(LEFT(B127,5)="09735",
    IF(ISNA(VLOOKUP(Tabla13[[#This Row],[Apoyo]],'LM SAP'!A:G,1,FALSE)),
        "No Disponible",
        IF(VLOOKUP(Tabla13[[#This Row],[Apoyo]],'LM SAP'!A:AD,9,FALSE)="RR",
            "Disponible",
            "Firmas SAP"
        )
    ),
    "CONSULTAR"
)</f>
        <v>CONSULTAR</v>
      </c>
      <c r="Q127" s="460" t="str">
        <f>MID(Tabla13[[#This Row],[Código Indra]],1,13)</f>
        <v>0972828220000</v>
      </c>
      <c r="R127" s="464" t="str">
        <f>IF(ISNA(VLOOKUP(Tabla13[[#This Row],[Código Indra]],#REF!,1,FALSE)),"NO", "SI")</f>
        <v>SI</v>
      </c>
      <c r="S127" s="460" t="str">
        <f>IF(ISNA(VLOOKUP(Tabla13[[#This Row],[Código Indra]],Tabla132[[Código INDRA]:[Nombre]],1,FALSE)),"NO", "SI")</f>
        <v>NO</v>
      </c>
      <c r="T127" s="465" t="s">
        <v>2005</v>
      </c>
      <c r="U127" s="464" t="s">
        <v>256</v>
      </c>
      <c r="V127" s="464" t="e">
        <f>VLOOKUP(Tabla13[[#This Row],[Apoyo]],'LM SAP'!A:I,9,FALSE)</f>
        <v>#N/A</v>
      </c>
      <c r="X127" s="466">
        <v>1</v>
      </c>
      <c r="Y127" s="464">
        <f>Tabla13[[#This Row],[ID]]</f>
        <v>117</v>
      </c>
    </row>
    <row r="128" spans="1:25" s="464" customFormat="1" ht="120" x14ac:dyDescent="0.25">
      <c r="A128" s="453">
        <v>118</v>
      </c>
      <c r="B128" s="496" t="s">
        <v>60</v>
      </c>
      <c r="C128" s="499" t="s">
        <v>61</v>
      </c>
      <c r="D128" s="456" t="s">
        <v>31</v>
      </c>
      <c r="E128" s="457" t="s">
        <v>646</v>
      </c>
      <c r="F128" s="458">
        <v>1</v>
      </c>
      <c r="G128" s="459"/>
      <c r="H128" s="460"/>
      <c r="I128" s="460" t="s">
        <v>276</v>
      </c>
      <c r="J128" s="460"/>
      <c r="K128" s="460" t="s">
        <v>220</v>
      </c>
      <c r="L128" s="460">
        <v>60005363</v>
      </c>
      <c r="M128" s="461">
        <v>45636</v>
      </c>
      <c r="N128" s="461">
        <v>45665</v>
      </c>
      <c r="O128" s="472" t="s">
        <v>2160</v>
      </c>
      <c r="P128" s="463" t="str">
        <f>IF(LEFT(B128,5)="09735",
    IF(ISNA(VLOOKUP(Tabla13[[#This Row],[Apoyo]],'LM SAP'!A:G,1,FALSE)),
        "No Disponible",
        IF(VLOOKUP(Tabla13[[#This Row],[Apoyo]],'LM SAP'!A:AD,9,FALSE)="RR",
            "Disponible",
            "Firmas SAP"
        )
    ),
    "CONSULTAR"
)</f>
        <v>No Disponible</v>
      </c>
      <c r="Q128" s="460" t="str">
        <f>MID(Tabla13[[#This Row],[Código Indra]],1,13)</f>
        <v>0973524200000</v>
      </c>
      <c r="R128" s="464" t="str">
        <f>IF(ISNA(VLOOKUP(Tabla13[[#This Row],[Código Indra]],#REF!,1,FALSE)),"NO", "SI")</f>
        <v>SI</v>
      </c>
      <c r="S128" s="460" t="str">
        <f>IF(ISNA(VLOOKUP(Tabla13[[#This Row],[Código Indra]],Tabla132[[Código INDRA]:[Nombre]],1,FALSE)),"NO", "SI")</f>
        <v>SI</v>
      </c>
      <c r="T128" s="465"/>
      <c r="U128" s="464" t="s">
        <v>227</v>
      </c>
      <c r="V128" s="464" t="e">
        <f>VLOOKUP(Tabla13[[#This Row],[Apoyo]],'LM SAP'!A:I,9,FALSE)</f>
        <v>#N/A</v>
      </c>
      <c r="W128" s="464" t="s">
        <v>234</v>
      </c>
      <c r="X128" s="466">
        <v>0</v>
      </c>
      <c r="Y128" s="464">
        <f>Tabla13[[#This Row],[ID]]</f>
        <v>118</v>
      </c>
    </row>
    <row r="129" spans="1:25" s="464" customFormat="1" ht="60" x14ac:dyDescent="0.25">
      <c r="A129" s="453">
        <v>119</v>
      </c>
      <c r="B129" s="454" t="s">
        <v>1281</v>
      </c>
      <c r="C129" s="469" t="s">
        <v>1282</v>
      </c>
      <c r="D129" s="456" t="s">
        <v>61</v>
      </c>
      <c r="E129" s="457" t="s">
        <v>1283</v>
      </c>
      <c r="F129" s="458">
        <v>1</v>
      </c>
      <c r="G129" s="459"/>
      <c r="H129" s="460"/>
      <c r="I129" s="460" t="s">
        <v>276</v>
      </c>
      <c r="J129" s="460"/>
      <c r="K129" s="460" t="s">
        <v>1411</v>
      </c>
      <c r="L129" s="460">
        <v>60005123</v>
      </c>
      <c r="M129" s="461">
        <v>45617</v>
      </c>
      <c r="N129" s="461">
        <v>45624</v>
      </c>
      <c r="O129" s="470" t="s">
        <v>2109</v>
      </c>
      <c r="P129" s="463" t="str">
        <f>IF(LEFT(B129,5)="09735",
    IF(ISNA(VLOOKUP(Tabla13[[#This Row],[Apoyo]],'LM SAP'!A:G,1,FALSE)),
        "No Disponible",
        IF(VLOOKUP(Tabla13[[#This Row],[Apoyo]],'LM SAP'!A:AD,9,FALSE)="RR",
            "Disponible",
            "Firmas SAP"
        )
    ),
    "CONSULTAR"
)</f>
        <v>No Disponible</v>
      </c>
      <c r="Q129" s="460" t="str">
        <f>MID(Tabla13[[#This Row],[Código Indra]],1,13)</f>
        <v>0973544200100</v>
      </c>
      <c r="R129" s="464" t="str">
        <f>IF(ISNA(VLOOKUP(Tabla13[[#This Row],[Código Indra]],#REF!,1,FALSE)),"NO", "SI")</f>
        <v>SI</v>
      </c>
      <c r="S129" s="460" t="str">
        <f>IF(ISNA(VLOOKUP(Tabla13[[#This Row],[Código Indra]],Tabla132[[Código INDRA]:[Nombre]],1,FALSE)),"NO", "SI")</f>
        <v>SI</v>
      </c>
      <c r="T129" s="465" t="s">
        <v>2005</v>
      </c>
      <c r="U129" s="464" t="s">
        <v>256</v>
      </c>
      <c r="V129" s="464" t="e">
        <f>VLOOKUP(Tabla13[[#This Row],[Apoyo]],'LM SAP'!A:I,9,FALSE)</f>
        <v>#N/A</v>
      </c>
      <c r="W129" s="464" t="s">
        <v>234</v>
      </c>
      <c r="X129" s="466">
        <v>0</v>
      </c>
      <c r="Y129" s="464">
        <f>Tabla13[[#This Row],[ID]]</f>
        <v>119</v>
      </c>
    </row>
    <row r="130" spans="1:25" s="464" customFormat="1" ht="24" x14ac:dyDescent="0.25">
      <c r="A130" s="453">
        <v>120</v>
      </c>
      <c r="B130" s="454" t="s">
        <v>1322</v>
      </c>
      <c r="C130" s="469" t="s">
        <v>1323</v>
      </c>
      <c r="D130" s="456" t="s">
        <v>61</v>
      </c>
      <c r="E130" s="457" t="s">
        <v>1324</v>
      </c>
      <c r="F130" s="458">
        <v>1</v>
      </c>
      <c r="G130" s="459"/>
      <c r="H130" s="460"/>
      <c r="I130" s="460" t="s">
        <v>276</v>
      </c>
      <c r="J130" s="460"/>
      <c r="K130" s="460" t="s">
        <v>1411</v>
      </c>
      <c r="L130" s="460">
        <v>60005125</v>
      </c>
      <c r="M130" s="461">
        <v>45617</v>
      </c>
      <c r="N130" s="461">
        <v>45642</v>
      </c>
      <c r="O130" s="494" t="s">
        <v>2083</v>
      </c>
      <c r="P130" s="463" t="str">
        <f>IF(LEFT(B130,5)="09735",
    IF(ISNA(VLOOKUP(Tabla13[[#This Row],[Apoyo]],'LM SAP'!A:G,1,FALSE)),
        "No Disponible",
        IF(VLOOKUP(Tabla13[[#This Row],[Apoyo]],'LM SAP'!A:AD,9,FALSE)="RR",
            "Disponible",
            "Firmas SAP"
        )
    ),
    "CONSULTAR"
)</f>
        <v>No Disponible</v>
      </c>
      <c r="Q130" s="460" t="str">
        <f>MID(Tabla13[[#This Row],[Código Indra]],1,13)</f>
        <v>0973544200200</v>
      </c>
      <c r="R130" s="464" t="str">
        <f>IF(ISNA(VLOOKUP(Tabla13[[#This Row],[Código Indra]],#REF!,1,FALSE)),"NO", "SI")</f>
        <v>SI</v>
      </c>
      <c r="S130" s="460" t="str">
        <f>IF(ISNA(VLOOKUP(Tabla13[[#This Row],[Código Indra]],Tabla132[[Código INDRA]:[Nombre]],1,FALSE)),"NO", "SI")</f>
        <v>SI</v>
      </c>
      <c r="T130" s="465" t="s">
        <v>2005</v>
      </c>
      <c r="U130" s="464" t="s">
        <v>256</v>
      </c>
      <c r="V130" s="464" t="e">
        <f>VLOOKUP(Tabla13[[#This Row],[Apoyo]],'LM SAP'!A:I,9,FALSE)</f>
        <v>#N/A</v>
      </c>
      <c r="X130" s="466">
        <v>0</v>
      </c>
      <c r="Y130" s="464">
        <f>Tabla13[[#This Row],[ID]]</f>
        <v>120</v>
      </c>
    </row>
    <row r="131" spans="1:25" s="464" customFormat="1" ht="24" x14ac:dyDescent="0.25">
      <c r="A131" s="453">
        <v>121</v>
      </c>
      <c r="B131" s="454" t="s">
        <v>1326</v>
      </c>
      <c r="C131" s="469" t="s">
        <v>2161</v>
      </c>
      <c r="D131" s="456" t="s">
        <v>61</v>
      </c>
      <c r="E131" s="457" t="s">
        <v>1328</v>
      </c>
      <c r="F131" s="458">
        <v>1</v>
      </c>
      <c r="G131" s="459"/>
      <c r="H131" s="460"/>
      <c r="I131" s="460" t="s">
        <v>276</v>
      </c>
      <c r="J131" s="460"/>
      <c r="K131" s="460" t="s">
        <v>1411</v>
      </c>
      <c r="L131" s="460">
        <v>60004986</v>
      </c>
      <c r="M131" s="461">
        <v>45611</v>
      </c>
      <c r="N131" s="461">
        <v>45639</v>
      </c>
      <c r="O131" s="494" t="s">
        <v>300</v>
      </c>
      <c r="P131" s="463" t="str">
        <f>IF(LEFT(B131,5)="09735",
    IF(ISNA(VLOOKUP(Tabla13[[#This Row],[Apoyo]],'LM SAP'!A:G,1,FALSE)),
        "No Disponible",
        IF(VLOOKUP(Tabla13[[#This Row],[Apoyo]],'LM SAP'!A:AD,9,FALSE)="RR",
            "Disponible",
            "Firmas SAP"
        )
    ),
    "CONSULTAR"
)</f>
        <v>CONSULTAR</v>
      </c>
      <c r="Q131" s="460" t="str">
        <f>MID(Tabla13[[#This Row],[Código Indra]],1,13)</f>
        <v>0972844204506</v>
      </c>
      <c r="R131" s="464" t="str">
        <f>IF(ISNA(VLOOKUP(Tabla13[[#This Row],[Código Indra]],#REF!,1,FALSE)),"NO", "SI")</f>
        <v>SI</v>
      </c>
      <c r="S131" s="460" t="str">
        <f>IF(ISNA(VLOOKUP(Tabla13[[#This Row],[Código Indra]],Tabla132[[Código INDRA]:[Nombre]],1,FALSE)),"NO", "SI")</f>
        <v>NO</v>
      </c>
      <c r="T131" s="465" t="s">
        <v>2005</v>
      </c>
      <c r="U131" s="464" t="s">
        <v>256</v>
      </c>
      <c r="V131" s="464" t="e">
        <f>VLOOKUP(Tabla13[[#This Row],[Apoyo]],'LM SAP'!A:I,9,FALSE)</f>
        <v>#N/A</v>
      </c>
      <c r="X131" s="466">
        <v>0</v>
      </c>
      <c r="Y131" s="464">
        <f>Tabla13[[#This Row],[ID]]</f>
        <v>121</v>
      </c>
    </row>
    <row r="132" spans="1:25" s="464" customFormat="1" ht="36" x14ac:dyDescent="0.25">
      <c r="A132" s="453">
        <v>122</v>
      </c>
      <c r="B132" s="454" t="s">
        <v>1284</v>
      </c>
      <c r="C132" s="469" t="s">
        <v>1285</v>
      </c>
      <c r="D132" s="456" t="s">
        <v>61</v>
      </c>
      <c r="E132" s="457" t="s">
        <v>1286</v>
      </c>
      <c r="F132" s="458">
        <v>1</v>
      </c>
      <c r="G132" s="459" t="s">
        <v>260</v>
      </c>
      <c r="H132" s="460"/>
      <c r="I132" s="460" t="s">
        <v>2011</v>
      </c>
      <c r="J132" s="460"/>
      <c r="K132" s="512" t="s">
        <v>1411</v>
      </c>
      <c r="L132" s="460">
        <v>60005428</v>
      </c>
      <c r="M132" s="461">
        <v>45643</v>
      </c>
      <c r="N132" s="461">
        <v>45678</v>
      </c>
      <c r="O132" s="470" t="s">
        <v>281</v>
      </c>
      <c r="P132" s="463" t="str">
        <f>IF(LEFT(B132,5)="09735",
    IF(ISNA(VLOOKUP(Tabla13[[#This Row],[Apoyo]],'LM SAP'!A:G,1,FALSE)),
        "No Disponible",
        IF(VLOOKUP(Tabla13[[#This Row],[Apoyo]],'LM SAP'!A:AD,9,FALSE)="RR",
            "Disponible",
            "Firmas SAP"
        )
    ),
    "CONSULTAR"
)</f>
        <v>No Disponible</v>
      </c>
      <c r="Q132" s="460" t="str">
        <f>MID(Tabla13[[#This Row],[Código Indra]],1,13)</f>
        <v>0973544201200</v>
      </c>
      <c r="R132" s="464" t="str">
        <f>IF(ISNA(VLOOKUP(Tabla13[[#This Row],[Código Indra]],#REF!,1,FALSE)),"NO", "SI")</f>
        <v>SI</v>
      </c>
      <c r="S132" s="460" t="str">
        <f>IF(ISNA(VLOOKUP(Tabla13[[#This Row],[Código Indra]],Tabla132[[Código INDRA]:[Nombre]],1,FALSE)),"NO", "SI")</f>
        <v>NO</v>
      </c>
      <c r="T132" s="465" t="s">
        <v>2005</v>
      </c>
      <c r="U132" s="464" t="s">
        <v>256</v>
      </c>
      <c r="V132" s="464" t="e">
        <f>VLOOKUP(Tabla13[[#This Row],[Apoyo]],'LM SAP'!A:I,9,FALSE)</f>
        <v>#N/A</v>
      </c>
      <c r="W132" s="464" t="s">
        <v>234</v>
      </c>
      <c r="X132" s="466">
        <v>0</v>
      </c>
      <c r="Y132" s="464">
        <f>Tabla13[[#This Row],[ID]]</f>
        <v>122</v>
      </c>
    </row>
    <row r="133" spans="1:25" s="464" customFormat="1" ht="36" x14ac:dyDescent="0.25">
      <c r="A133" s="453">
        <v>123</v>
      </c>
      <c r="B133" s="454" t="s">
        <v>1288</v>
      </c>
      <c r="C133" s="469" t="s">
        <v>2162</v>
      </c>
      <c r="D133" s="456" t="s">
        <v>61</v>
      </c>
      <c r="E133" s="457" t="s">
        <v>1290</v>
      </c>
      <c r="F133" s="458">
        <v>1</v>
      </c>
      <c r="G133" s="459"/>
      <c r="H133" s="460"/>
      <c r="I133" s="460" t="s">
        <v>2011</v>
      </c>
      <c r="J133" s="460"/>
      <c r="K133" s="460" t="s">
        <v>1411</v>
      </c>
      <c r="L133" s="460">
        <v>60005364</v>
      </c>
      <c r="M133" s="461">
        <v>45636</v>
      </c>
      <c r="N133" s="461">
        <v>45639</v>
      </c>
      <c r="O133" s="494" t="s">
        <v>300</v>
      </c>
      <c r="P133" s="463" t="str">
        <f>IF(LEFT(B133,5)="09735",
    IF(ISNA(VLOOKUP(Tabla13[[#This Row],[Apoyo]],'LM SAP'!A:G,1,FALSE)),
        "No Disponible",
        IF(VLOOKUP(Tabla13[[#This Row],[Apoyo]],'LM SAP'!A:AD,9,FALSE)="RR",
            "Disponible",
            "Firmas SAP"
        )
    ),
    "CONSULTAR"
)</f>
        <v>No Disponible</v>
      </c>
      <c r="Q133" s="460" t="str">
        <f>MID(Tabla13[[#This Row],[Código Indra]],1,13)</f>
        <v>0973544201300</v>
      </c>
      <c r="R133" s="464" t="str">
        <f>IF(ISNA(VLOOKUP(Tabla13[[#This Row],[Código Indra]],#REF!,1,FALSE)),"NO", "SI")</f>
        <v>SI</v>
      </c>
      <c r="S133" s="460" t="str">
        <f>IF(ISNA(VLOOKUP(Tabla13[[#This Row],[Código Indra]],Tabla132[[Código INDRA]:[Nombre]],1,FALSE)),"NO", "SI")</f>
        <v>NO</v>
      </c>
      <c r="T133" s="465" t="s">
        <v>2005</v>
      </c>
      <c r="U133" s="464" t="s">
        <v>256</v>
      </c>
      <c r="V133" s="464" t="e">
        <f>VLOOKUP(Tabla13[[#This Row],[Apoyo]],'LM SAP'!A:I,9,FALSE)</f>
        <v>#N/A</v>
      </c>
      <c r="W133" s="464" t="s">
        <v>234</v>
      </c>
      <c r="X133" s="466">
        <v>0</v>
      </c>
      <c r="Y133" s="464">
        <f>Tabla13[[#This Row],[ID]]</f>
        <v>123</v>
      </c>
    </row>
    <row r="134" spans="1:25" s="464" customFormat="1" ht="36" x14ac:dyDescent="0.25">
      <c r="A134" s="453">
        <v>124</v>
      </c>
      <c r="B134" s="454" t="s">
        <v>1291</v>
      </c>
      <c r="C134" s="469" t="s">
        <v>2163</v>
      </c>
      <c r="D134" s="456" t="s">
        <v>61</v>
      </c>
      <c r="E134" s="457" t="s">
        <v>1293</v>
      </c>
      <c r="F134" s="458">
        <v>1</v>
      </c>
      <c r="G134" s="459"/>
      <c r="H134" s="460"/>
      <c r="I134" s="460" t="s">
        <v>2011</v>
      </c>
      <c r="J134" s="460"/>
      <c r="K134" s="460" t="s">
        <v>1411</v>
      </c>
      <c r="L134" s="460">
        <v>60005365</v>
      </c>
      <c r="M134" s="461">
        <v>45636</v>
      </c>
      <c r="N134" s="461">
        <v>45639</v>
      </c>
      <c r="O134" s="494" t="s">
        <v>300</v>
      </c>
      <c r="P134" s="463" t="str">
        <f>IF(LEFT(B134,5)="09735",
    IF(ISNA(VLOOKUP(Tabla13[[#This Row],[Apoyo]],'LM SAP'!A:G,1,FALSE)),
        "No Disponible",
        IF(VLOOKUP(Tabla13[[#This Row],[Apoyo]],'LM SAP'!A:AD,9,FALSE)="RR",
            "Disponible",
            "Firmas SAP"
        )
    ),
    "CONSULTAR"
)</f>
        <v>No Disponible</v>
      </c>
      <c r="Q134" s="460" t="str">
        <f>MID(Tabla13[[#This Row],[Código Indra]],1,13)</f>
        <v>0973544201400</v>
      </c>
      <c r="R134" s="464" t="str">
        <f>IF(ISNA(VLOOKUP(Tabla13[[#This Row],[Código Indra]],#REF!,1,FALSE)),"NO", "SI")</f>
        <v>SI</v>
      </c>
      <c r="S134" s="460" t="str">
        <f>IF(ISNA(VLOOKUP(Tabla13[[#This Row],[Código Indra]],Tabla132[[Código INDRA]:[Nombre]],1,FALSE)),"NO", "SI")</f>
        <v>NO</v>
      </c>
      <c r="T134" s="465" t="s">
        <v>2005</v>
      </c>
      <c r="U134" s="464" t="s">
        <v>256</v>
      </c>
      <c r="V134" s="464" t="e">
        <f>VLOOKUP(Tabla13[[#This Row],[Apoyo]],'LM SAP'!A:I,9,FALSE)</f>
        <v>#N/A</v>
      </c>
      <c r="W134" s="464" t="s">
        <v>234</v>
      </c>
      <c r="X134" s="466">
        <v>0</v>
      </c>
      <c r="Y134" s="464">
        <f>Tabla13[[#This Row],[ID]]</f>
        <v>124</v>
      </c>
    </row>
    <row r="135" spans="1:25" s="464" customFormat="1" ht="96" x14ac:dyDescent="0.25">
      <c r="A135" s="453">
        <v>125</v>
      </c>
      <c r="B135" s="471" t="s">
        <v>557</v>
      </c>
      <c r="C135" s="455" t="s">
        <v>86</v>
      </c>
      <c r="D135" s="456" t="s">
        <v>558</v>
      </c>
      <c r="E135" s="457" t="s">
        <v>559</v>
      </c>
      <c r="F135" s="458">
        <v>1</v>
      </c>
      <c r="G135" s="459"/>
      <c r="H135" s="460"/>
      <c r="I135" s="460" t="s">
        <v>2011</v>
      </c>
      <c r="J135" s="460"/>
      <c r="K135" s="460" t="s">
        <v>1411</v>
      </c>
      <c r="L135" s="460">
        <v>60004831</v>
      </c>
      <c r="M135" s="461">
        <v>45600</v>
      </c>
      <c r="N135" s="461">
        <v>45601</v>
      </c>
      <c r="O135" s="494" t="s">
        <v>2164</v>
      </c>
      <c r="P135" s="463" t="str">
        <f>IF(LEFT(B135,5)="09735",
    IF(ISNA(VLOOKUP(Tabla13[[#This Row],[Apoyo]],'LM SAP'!A:G,1,FALSE)),
        "No Disponible",
        IF(VLOOKUP(Tabla13[[#This Row],[Apoyo]],'LM SAP'!A:AD,9,FALSE)="RR",
            "Disponible",
            "Firmas SAP"
        )
    ),
    "CONSULTAR"
)</f>
        <v>No Disponible</v>
      </c>
      <c r="Q135" s="460" t="str">
        <f>MID(Tabla13[[#This Row],[Código Indra]],1,13)</f>
        <v>0973524201800</v>
      </c>
      <c r="R135" s="464" t="str">
        <f>IF(ISNA(VLOOKUP(Tabla13[[#This Row],[Código Indra]],#REF!,1,FALSE)),"NO", "SI")</f>
        <v>SI</v>
      </c>
      <c r="S135" s="460" t="str">
        <f>IF(ISNA(VLOOKUP(Tabla13[[#This Row],[Código Indra]],Tabla132[[Código INDRA]:[Nombre]],1,FALSE)),"NO", "SI")</f>
        <v>SI</v>
      </c>
      <c r="T135" s="465"/>
      <c r="U135" s="464" t="s">
        <v>227</v>
      </c>
      <c r="V135" s="464" t="e">
        <f>VLOOKUP(Tabla13[[#This Row],[Apoyo]],'LM SAP'!A:I,9,FALSE)</f>
        <v>#N/A</v>
      </c>
      <c r="W135" s="464" t="s">
        <v>234</v>
      </c>
      <c r="X135" s="466">
        <v>2</v>
      </c>
      <c r="Y135" s="464">
        <f>Tabla13[[#This Row],[ID]]</f>
        <v>125</v>
      </c>
    </row>
    <row r="136" spans="1:25" s="464" customFormat="1" ht="24" x14ac:dyDescent="0.25">
      <c r="A136" s="453">
        <v>126</v>
      </c>
      <c r="B136" s="454" t="s">
        <v>563</v>
      </c>
      <c r="C136" s="469" t="s">
        <v>2165</v>
      </c>
      <c r="D136" s="456" t="s">
        <v>86</v>
      </c>
      <c r="E136" s="457" t="s">
        <v>565</v>
      </c>
      <c r="F136" s="458">
        <v>1</v>
      </c>
      <c r="G136" s="459"/>
      <c r="H136" s="460"/>
      <c r="I136" s="460" t="s">
        <v>2011</v>
      </c>
      <c r="J136" s="460"/>
      <c r="K136" s="460" t="s">
        <v>1411</v>
      </c>
      <c r="L136" s="460">
        <v>60004560</v>
      </c>
      <c r="M136" s="461">
        <v>45572</v>
      </c>
      <c r="N136" s="461">
        <v>45579</v>
      </c>
      <c r="O136" s="494" t="s">
        <v>300</v>
      </c>
      <c r="P136" s="463" t="str">
        <f>IF(LEFT(B136,5)="09735",
    IF(ISNA(VLOOKUP(Tabla13[[#This Row],[Apoyo]],'LM SAP'!A:G,1,FALSE)),
        "No Disponible",
        IF(VLOOKUP(Tabla13[[#This Row],[Apoyo]],'LM SAP'!A:AD,9,FALSE)="RR",
            "Disponible",
            "Firmas SAP"
        )
    ),
    "CONSULTAR"
)</f>
        <v>CONSULTAR</v>
      </c>
      <c r="Q136" s="460" t="str">
        <f>MID(Tabla13[[#This Row],[Código Indra]],1,13)</f>
        <v>0972845008001</v>
      </c>
      <c r="R136" s="464" t="str">
        <f>IF(ISNA(VLOOKUP(Tabla13[[#This Row],[Código Indra]],#REF!,1,FALSE)),"NO", "SI")</f>
        <v>SI</v>
      </c>
      <c r="S136" s="460" t="str">
        <f>IF(ISNA(VLOOKUP(Tabla13[[#This Row],[Código Indra]],Tabla132[[Código INDRA]:[Nombre]],1,FALSE)),"NO", "SI")</f>
        <v>NO</v>
      </c>
      <c r="T136" s="465" t="s">
        <v>2005</v>
      </c>
      <c r="U136" s="464" t="s">
        <v>256</v>
      </c>
      <c r="V136" s="464" t="e">
        <f>VLOOKUP(Tabla13[[#This Row],[Apoyo]],'LM SAP'!A:I,9,FALSE)</f>
        <v>#N/A</v>
      </c>
      <c r="W136" s="464" t="s">
        <v>234</v>
      </c>
      <c r="X136" s="466">
        <v>0.2</v>
      </c>
      <c r="Y136" s="464">
        <f>Tabla13[[#This Row],[ID]]</f>
        <v>126</v>
      </c>
    </row>
    <row r="137" spans="1:25" s="464" customFormat="1" ht="24" x14ac:dyDescent="0.25">
      <c r="A137" s="453">
        <v>127</v>
      </c>
      <c r="B137" s="454" t="s">
        <v>566</v>
      </c>
      <c r="C137" s="469" t="s">
        <v>2166</v>
      </c>
      <c r="D137" s="456" t="s">
        <v>86</v>
      </c>
      <c r="E137" s="457" t="s">
        <v>565</v>
      </c>
      <c r="F137" s="458">
        <v>1</v>
      </c>
      <c r="G137" s="459"/>
      <c r="H137" s="460"/>
      <c r="I137" s="460" t="s">
        <v>2011</v>
      </c>
      <c r="J137" s="460"/>
      <c r="K137" s="460" t="s">
        <v>1411</v>
      </c>
      <c r="L137" s="460">
        <v>60004561</v>
      </c>
      <c r="M137" s="461">
        <v>45572</v>
      </c>
      <c r="N137" s="461">
        <v>45579</v>
      </c>
      <c r="O137" s="494" t="s">
        <v>568</v>
      </c>
      <c r="P137" s="463" t="str">
        <f>IF(LEFT(B137,5)="09735",
    IF(ISNA(VLOOKUP(Tabla13[[#This Row],[Apoyo]],'LM SAP'!A:G,1,FALSE)),
        "No Disponible",
        IF(VLOOKUP(Tabla13[[#This Row],[Apoyo]],'LM SAP'!A:AD,9,FALSE)="RR",
            "Disponible",
            "Firmas SAP"
        )
    ),
    "CONSULTAR"
)</f>
        <v>CONSULTAR</v>
      </c>
      <c r="Q137" s="460" t="str">
        <f>MID(Tabla13[[#This Row],[Código Indra]],1,13)</f>
        <v>0972845008002</v>
      </c>
      <c r="R137" s="464" t="str">
        <f>IF(ISNA(VLOOKUP(Tabla13[[#This Row],[Código Indra]],#REF!,1,FALSE)),"NO", "SI")</f>
        <v>SI</v>
      </c>
      <c r="S137" s="460" t="str">
        <f>IF(ISNA(VLOOKUP(Tabla13[[#This Row],[Código Indra]],Tabla132[[Código INDRA]:[Nombre]],1,FALSE)),"NO", "SI")</f>
        <v>NO</v>
      </c>
      <c r="T137" s="465" t="s">
        <v>2005</v>
      </c>
      <c r="U137" s="464" t="s">
        <v>256</v>
      </c>
      <c r="V137" s="464" t="e">
        <f>VLOOKUP(Tabla13[[#This Row],[Apoyo]],'LM SAP'!A:I,9,FALSE)</f>
        <v>#N/A</v>
      </c>
      <c r="W137" s="464" t="s">
        <v>234</v>
      </c>
      <c r="X137" s="466">
        <v>0.2</v>
      </c>
      <c r="Y137" s="464">
        <f>Tabla13[[#This Row],[ID]]</f>
        <v>127</v>
      </c>
    </row>
    <row r="138" spans="1:25" s="464" customFormat="1" ht="24" x14ac:dyDescent="0.25">
      <c r="A138" s="453">
        <v>128</v>
      </c>
      <c r="B138" s="454" t="s">
        <v>569</v>
      </c>
      <c r="C138" s="469" t="s">
        <v>2167</v>
      </c>
      <c r="D138" s="456" t="s">
        <v>86</v>
      </c>
      <c r="E138" s="457" t="s">
        <v>565</v>
      </c>
      <c r="F138" s="458">
        <v>1</v>
      </c>
      <c r="G138" s="459"/>
      <c r="H138" s="460"/>
      <c r="I138" s="460" t="s">
        <v>2011</v>
      </c>
      <c r="J138" s="460"/>
      <c r="K138" s="460" t="s">
        <v>1411</v>
      </c>
      <c r="L138" s="460">
        <v>60004562</v>
      </c>
      <c r="M138" s="461">
        <v>45572</v>
      </c>
      <c r="N138" s="461">
        <v>45579</v>
      </c>
      <c r="O138" s="494" t="s">
        <v>568</v>
      </c>
      <c r="P138" s="463" t="str">
        <f>IF(LEFT(B138,5)="09735",
    IF(ISNA(VLOOKUP(Tabla13[[#This Row],[Apoyo]],'LM SAP'!A:G,1,FALSE)),
        "No Disponible",
        IF(VLOOKUP(Tabla13[[#This Row],[Apoyo]],'LM SAP'!A:AD,9,FALSE)="RR",
            "Disponible",
            "Firmas SAP"
        )
    ),
    "CONSULTAR"
)</f>
        <v>CONSULTAR</v>
      </c>
      <c r="Q138" s="460" t="str">
        <f>MID(Tabla13[[#This Row],[Código Indra]],1,13)</f>
        <v>0972845008003</v>
      </c>
      <c r="R138" s="464" t="str">
        <f>IF(ISNA(VLOOKUP(Tabla13[[#This Row],[Código Indra]],#REF!,1,FALSE)),"NO", "SI")</f>
        <v>SI</v>
      </c>
      <c r="S138" s="460" t="str">
        <f>IF(ISNA(VLOOKUP(Tabla13[[#This Row],[Código Indra]],Tabla132[[Código INDRA]:[Nombre]],1,FALSE)),"NO", "SI")</f>
        <v>NO</v>
      </c>
      <c r="T138" s="465" t="s">
        <v>2005</v>
      </c>
      <c r="U138" s="464" t="s">
        <v>256</v>
      </c>
      <c r="V138" s="464" t="e">
        <f>VLOOKUP(Tabla13[[#This Row],[Apoyo]],'LM SAP'!A:I,9,FALSE)</f>
        <v>#N/A</v>
      </c>
      <c r="W138" s="464" t="s">
        <v>234</v>
      </c>
      <c r="X138" s="466">
        <v>0.2</v>
      </c>
      <c r="Y138" s="464">
        <f>Tabla13[[#This Row],[ID]]</f>
        <v>128</v>
      </c>
    </row>
    <row r="139" spans="1:25" s="464" customFormat="1" ht="24" x14ac:dyDescent="0.25">
      <c r="A139" s="453">
        <v>129</v>
      </c>
      <c r="B139" s="454" t="s">
        <v>2168</v>
      </c>
      <c r="C139" s="469" t="s">
        <v>2169</v>
      </c>
      <c r="D139" s="456" t="s">
        <v>86</v>
      </c>
      <c r="E139" s="457"/>
      <c r="F139" s="458">
        <v>1</v>
      </c>
      <c r="G139" s="459"/>
      <c r="H139" s="460"/>
      <c r="I139" s="460" t="s">
        <v>276</v>
      </c>
      <c r="J139" s="460"/>
      <c r="K139" s="460" t="s">
        <v>1411</v>
      </c>
      <c r="L139" s="460">
        <v>60005775</v>
      </c>
      <c r="M139" s="461">
        <v>45693</v>
      </c>
      <c r="N139" s="461">
        <v>45694</v>
      </c>
      <c r="O139" s="470" t="s">
        <v>2170</v>
      </c>
      <c r="P139" s="463" t="str">
        <f>IF(LEFT(B139,5)="09735",
    IF(ISNA(VLOOKUP(Tabla13[[#This Row],[Apoyo]],'LM SAP'!A:G,1,FALSE)),
        "No Disponible",
        IF(VLOOKUP(Tabla13[[#This Row],[Apoyo]],'LM SAP'!A:AD,9,FALSE)="RR",
            "Disponible",
            "Firmas SAP"
        )
    ),
    "CONSULTAR"
)</f>
        <v>No Disponible</v>
      </c>
      <c r="Q139" s="460" t="str">
        <f>MID(Tabla13[[#This Row],[Código Indra]],1,13)</f>
        <v>0973545008004</v>
      </c>
      <c r="R139" s="464" t="str">
        <f>IF(ISNA(VLOOKUP(Tabla13[[#This Row],[Código Indra]],#REF!,1,FALSE)),"NO", "SI")</f>
        <v>SI</v>
      </c>
      <c r="S139" s="460" t="str">
        <f>IF(ISNA(VLOOKUP(Tabla13[[#This Row],[Código Indra]],Tabla132[[Código INDRA]:[Nombre]],1,FALSE)),"NO", "SI")</f>
        <v>NO</v>
      </c>
      <c r="T139" s="465" t="s">
        <v>2005</v>
      </c>
      <c r="U139" s="464" t="s">
        <v>256</v>
      </c>
      <c r="V139" s="464" t="e">
        <f>VLOOKUP(Tabla13[[#This Row],[Apoyo]],'LM SAP'!A:I,9,FALSE)</f>
        <v>#N/A</v>
      </c>
      <c r="W139" s="464" t="s">
        <v>234</v>
      </c>
      <c r="X139" s="466">
        <v>11</v>
      </c>
      <c r="Y139" s="464">
        <f>Tabla13[[#This Row],[ID]]</f>
        <v>129</v>
      </c>
    </row>
    <row r="140" spans="1:25" s="464" customFormat="1" ht="72" x14ac:dyDescent="0.25">
      <c r="A140" s="453">
        <v>130</v>
      </c>
      <c r="B140" s="454">
        <v>973524201000</v>
      </c>
      <c r="C140" s="455" t="s">
        <v>150</v>
      </c>
      <c r="D140" s="456"/>
      <c r="E140" s="457" t="s">
        <v>647</v>
      </c>
      <c r="F140" s="458">
        <v>1</v>
      </c>
      <c r="G140" s="459" t="s">
        <v>260</v>
      </c>
      <c r="H140" s="460" t="s">
        <v>2000</v>
      </c>
      <c r="I140" s="460" t="s">
        <v>276</v>
      </c>
      <c r="J140" s="460"/>
      <c r="K140" s="460" t="s">
        <v>1411</v>
      </c>
      <c r="L140" s="460">
        <v>60005509</v>
      </c>
      <c r="M140" s="461">
        <v>45665</v>
      </c>
      <c r="N140" s="461">
        <v>45671</v>
      </c>
      <c r="O140" s="467" t="s">
        <v>2171</v>
      </c>
      <c r="P140" s="463" t="str">
        <f>IF(LEFT(B140,5)="09735",
    IF(ISNA(VLOOKUP(Tabla13[[#This Row],[Apoyo]],'LM SAP'!A:G,1,FALSE)),
        "No Disponible",
        IF(VLOOKUP(Tabla13[[#This Row],[Apoyo]],'LM SAP'!A:AD,9,FALSE)="RR",
            "Disponible",
            "Firmas SAP"
        )
    ),
    "CONSULTAR"
)</f>
        <v>CONSULTAR</v>
      </c>
      <c r="Q140" s="460" t="str">
        <f>MID(Tabla13[[#This Row],[Código Indra]],1,13)</f>
        <v>973524201000</v>
      </c>
      <c r="R140" s="464" t="str">
        <f>IF(ISNA(VLOOKUP(Tabla13[[#This Row],[Código Indra]],#REF!,1,FALSE)),"NO", "SI")</f>
        <v>SI</v>
      </c>
      <c r="S140" s="460" t="str">
        <f>IF(ISNA(VLOOKUP(Tabla13[[#This Row],[Código Indra]],Tabla132[[Código INDRA]:[Nombre]],1,FALSE)),"NO", "SI")</f>
        <v>NO</v>
      </c>
      <c r="T140" s="465"/>
      <c r="U140" s="464" t="s">
        <v>227</v>
      </c>
      <c r="V140" s="464" t="e">
        <f>VLOOKUP(Tabla13[[#This Row],[Apoyo]],'LM SAP'!A:I,9,FALSE)</f>
        <v>#N/A</v>
      </c>
      <c r="W140" s="464" t="s">
        <v>234</v>
      </c>
      <c r="X140" s="466">
        <v>0</v>
      </c>
      <c r="Y140" s="464">
        <f>Tabla13[[#This Row],[ID]]</f>
        <v>130</v>
      </c>
    </row>
    <row r="141" spans="1:25" s="464" customFormat="1" ht="24" x14ac:dyDescent="0.25">
      <c r="A141" s="453">
        <v>131</v>
      </c>
      <c r="B141" s="454" t="s">
        <v>814</v>
      </c>
      <c r="C141" s="469" t="s">
        <v>2172</v>
      </c>
      <c r="D141" s="456" t="s">
        <v>150</v>
      </c>
      <c r="E141" s="457" t="s">
        <v>2173</v>
      </c>
      <c r="F141" s="458">
        <v>1</v>
      </c>
      <c r="G141" s="459" t="s">
        <v>260</v>
      </c>
      <c r="H141" s="460"/>
      <c r="I141" s="460" t="s">
        <v>251</v>
      </c>
      <c r="J141" s="460"/>
      <c r="K141" s="460" t="s">
        <v>1411</v>
      </c>
      <c r="L141" s="460">
        <v>60005248</v>
      </c>
      <c r="M141" s="461">
        <v>45624</v>
      </c>
      <c r="N141" s="461">
        <v>45705</v>
      </c>
      <c r="O141" s="494" t="s">
        <v>2174</v>
      </c>
      <c r="P141" s="463" t="str">
        <f>IF(LEFT(B141,5)="09735",
    IF(ISNA(VLOOKUP(Tabla13[[#This Row],[Apoyo]],'LM SAP'!A:G,1,FALSE)),
        "No Disponible",
        IF(VLOOKUP(Tabla13[[#This Row],[Apoyo]],'LM SAP'!A:AD,9,FALSE)="RR",
            "Disponible",
            "Firmas SAP"
        )
    ),
    "CONSULTAR"
)</f>
        <v>No Disponible</v>
      </c>
      <c r="Q141" s="460" t="str">
        <f>MID(Tabla13[[#This Row],[Código Indra]],1,13)</f>
        <v>0973545047100</v>
      </c>
      <c r="R141" s="464" t="str">
        <f>IF(ISNA(VLOOKUP(Tabla13[[#This Row],[Código Indra]],#REF!,1,FALSE)),"NO", "SI")</f>
        <v>SI</v>
      </c>
      <c r="S141" s="460" t="str">
        <f>IF(ISNA(VLOOKUP(Tabla13[[#This Row],[Código Indra]],Tabla132[[Código INDRA]:[Nombre]],1,FALSE)),"NO", "SI")</f>
        <v>NO</v>
      </c>
      <c r="T141" s="465" t="s">
        <v>2005</v>
      </c>
      <c r="U141" s="464" t="s">
        <v>256</v>
      </c>
      <c r="V141" s="464" t="e">
        <f>VLOOKUP(Tabla13[[#This Row],[Apoyo]],'LM SAP'!A:I,9,FALSE)</f>
        <v>#N/A</v>
      </c>
      <c r="X141" s="466">
        <v>0</v>
      </c>
      <c r="Y141" s="464">
        <f>Tabla13[[#This Row],[ID]]</f>
        <v>131</v>
      </c>
    </row>
    <row r="142" spans="1:25" s="464" customFormat="1" ht="96" x14ac:dyDescent="0.25">
      <c r="A142" s="453">
        <v>132</v>
      </c>
      <c r="B142" s="454" t="s">
        <v>818</v>
      </c>
      <c r="C142" s="469" t="s">
        <v>2175</v>
      </c>
      <c r="D142" s="456" t="s">
        <v>150</v>
      </c>
      <c r="E142" s="457" t="s">
        <v>2176</v>
      </c>
      <c r="F142" s="458">
        <v>1</v>
      </c>
      <c r="G142" s="459" t="s">
        <v>260</v>
      </c>
      <c r="H142" s="460"/>
      <c r="I142" s="460" t="s">
        <v>276</v>
      </c>
      <c r="J142" s="460"/>
      <c r="K142" s="460" t="s">
        <v>1411</v>
      </c>
      <c r="L142" s="460">
        <v>60004730</v>
      </c>
      <c r="M142" s="461">
        <v>45595</v>
      </c>
      <c r="N142" s="461">
        <v>45604</v>
      </c>
      <c r="O142" s="470" t="s">
        <v>2177</v>
      </c>
      <c r="P142" s="463" t="str">
        <f>IF(LEFT(B142,5)="09735",
    IF(ISNA(VLOOKUP(Tabla13[[#This Row],[Apoyo]],'LM SAP'!A:G,1,FALSE)),
        "No Disponible",
        IF(VLOOKUP(Tabla13[[#This Row],[Apoyo]],'LM SAP'!A:AD,9,FALSE)="RR",
            "Disponible",
            "Firmas SAP"
        )
    ),
    "CONSULTAR"
)</f>
        <v>No Disponible</v>
      </c>
      <c r="Q142" s="460" t="str">
        <f>MID(Tabla13[[#This Row],[Código Indra]],1,13)</f>
        <v>0973545047200</v>
      </c>
      <c r="R142" s="464" t="str">
        <f>IF(ISNA(VLOOKUP(Tabla13[[#This Row],[Código Indra]],#REF!,1,FALSE)),"NO", "SI")</f>
        <v>SI</v>
      </c>
      <c r="S142" s="460" t="str">
        <f>IF(ISNA(VLOOKUP(Tabla13[[#This Row],[Código Indra]],Tabla132[[Código INDRA]:[Nombre]],1,FALSE)),"NO", "SI")</f>
        <v>NO</v>
      </c>
      <c r="T142" s="465" t="s">
        <v>2005</v>
      </c>
      <c r="U142" s="464" t="s">
        <v>256</v>
      </c>
      <c r="V142" s="464" t="e">
        <f>VLOOKUP(Tabla13[[#This Row],[Apoyo]],'LM SAP'!A:I,9,FALSE)</f>
        <v>#N/A</v>
      </c>
      <c r="X142" s="466">
        <v>0</v>
      </c>
      <c r="Y142" s="464">
        <f>Tabla13[[#This Row],[ID]]</f>
        <v>132</v>
      </c>
    </row>
    <row r="143" spans="1:25" s="464" customFormat="1" ht="24" x14ac:dyDescent="0.25">
      <c r="A143" s="453">
        <v>133</v>
      </c>
      <c r="B143" s="454" t="s">
        <v>822</v>
      </c>
      <c r="C143" s="469" t="s">
        <v>2178</v>
      </c>
      <c r="D143" s="456" t="s">
        <v>150</v>
      </c>
      <c r="E143" s="457" t="s">
        <v>2179</v>
      </c>
      <c r="F143" s="458">
        <v>1</v>
      </c>
      <c r="G143" s="459" t="s">
        <v>260</v>
      </c>
      <c r="H143" s="460"/>
      <c r="I143" s="460" t="s">
        <v>276</v>
      </c>
      <c r="J143" s="460"/>
      <c r="K143" s="460" t="s">
        <v>1411</v>
      </c>
      <c r="L143" s="460">
        <v>60005079</v>
      </c>
      <c r="M143" s="461">
        <v>45616</v>
      </c>
      <c r="N143" s="461">
        <v>45638</v>
      </c>
      <c r="O143" s="470" t="s">
        <v>281</v>
      </c>
      <c r="P143" s="463" t="str">
        <f>IF(LEFT(B143,5)="09735",
    IF(ISNA(VLOOKUP(Tabla13[[#This Row],[Apoyo]],'LM SAP'!A:G,1,FALSE)),
        "No Disponible",
        IF(VLOOKUP(Tabla13[[#This Row],[Apoyo]],'LM SAP'!A:AD,9,FALSE)="RR",
            "Disponible",
            "Firmas SAP"
        )
    ),
    "CONSULTAR"
)</f>
        <v>No Disponible</v>
      </c>
      <c r="Q143" s="460" t="str">
        <f>MID(Tabla13[[#This Row],[Código Indra]],1,13)</f>
        <v>0973545047300</v>
      </c>
      <c r="R143" s="464" t="str">
        <f>IF(ISNA(VLOOKUP(Tabla13[[#This Row],[Código Indra]],#REF!,1,FALSE)),"NO", "SI")</f>
        <v>SI</v>
      </c>
      <c r="S143" s="460" t="str">
        <f>IF(ISNA(VLOOKUP(Tabla13[[#This Row],[Código Indra]],Tabla132[[Código INDRA]:[Nombre]],1,FALSE)),"NO", "SI")</f>
        <v>NO</v>
      </c>
      <c r="T143" s="465" t="s">
        <v>2005</v>
      </c>
      <c r="U143" s="464" t="s">
        <v>256</v>
      </c>
      <c r="V143" s="464" t="e">
        <f>VLOOKUP(Tabla13[[#This Row],[Apoyo]],'LM SAP'!A:I,9,FALSE)</f>
        <v>#N/A</v>
      </c>
      <c r="X143" s="466">
        <v>0</v>
      </c>
      <c r="Y143" s="464">
        <f>Tabla13[[#This Row],[ID]]</f>
        <v>133</v>
      </c>
    </row>
    <row r="144" spans="1:25" s="464" customFormat="1" ht="24" x14ac:dyDescent="0.25">
      <c r="A144" s="453">
        <v>134</v>
      </c>
      <c r="B144" s="454" t="s">
        <v>596</v>
      </c>
      <c r="C144" s="469" t="s">
        <v>2180</v>
      </c>
      <c r="D144" s="456" t="s">
        <v>150</v>
      </c>
      <c r="E144" s="457" t="s">
        <v>2181</v>
      </c>
      <c r="F144" s="458">
        <v>1</v>
      </c>
      <c r="G144" s="459" t="s">
        <v>260</v>
      </c>
      <c r="H144" s="460"/>
      <c r="I144" s="460" t="s">
        <v>276</v>
      </c>
      <c r="J144" s="460"/>
      <c r="K144" s="460" t="s">
        <v>1411</v>
      </c>
      <c r="L144" s="460">
        <v>60005077</v>
      </c>
      <c r="M144" s="461">
        <v>45616</v>
      </c>
      <c r="N144" s="461">
        <v>45635</v>
      </c>
      <c r="O144" s="470" t="s">
        <v>281</v>
      </c>
      <c r="P144" s="463" t="str">
        <f>IF(LEFT(B144,5)="09735",
    IF(ISNA(VLOOKUP(Tabla13[[#This Row],[Apoyo]],'LM SAP'!A:G,1,FALSE)),
        "No Disponible",
        IF(VLOOKUP(Tabla13[[#This Row],[Apoyo]],'LM SAP'!A:AD,9,FALSE)="RR",
            "Disponible",
            "Firmas SAP"
        )
    ),
    "CONSULTAR"
)</f>
        <v>No Disponible</v>
      </c>
      <c r="Q144" s="460" t="str">
        <f>MID(Tabla13[[#This Row],[Código Indra]],1,13)</f>
        <v>0973545047400</v>
      </c>
      <c r="R144" s="464" t="str">
        <f>IF(ISNA(VLOOKUP(Tabla13[[#This Row],[Código Indra]],#REF!,1,FALSE)),"NO", "SI")</f>
        <v>SI</v>
      </c>
      <c r="S144" s="460" t="str">
        <f>IF(ISNA(VLOOKUP(Tabla13[[#This Row],[Código Indra]],Tabla132[[Código INDRA]:[Nombre]],1,FALSE)),"NO", "SI")</f>
        <v>NO</v>
      </c>
      <c r="T144" s="465" t="s">
        <v>2005</v>
      </c>
      <c r="U144" s="464" t="s">
        <v>256</v>
      </c>
      <c r="V144" s="464" t="e">
        <f>VLOOKUP(Tabla13[[#This Row],[Apoyo]],'LM SAP'!A:I,9,FALSE)</f>
        <v>#N/A</v>
      </c>
      <c r="X144" s="466">
        <v>0</v>
      </c>
      <c r="Y144" s="464">
        <f>Tabla13[[#This Row],[ID]]</f>
        <v>134</v>
      </c>
    </row>
    <row r="145" spans="1:25" s="464" customFormat="1" ht="24" x14ac:dyDescent="0.25">
      <c r="A145" s="453">
        <v>135</v>
      </c>
      <c r="B145" s="454" t="s">
        <v>828</v>
      </c>
      <c r="C145" s="469" t="s">
        <v>2182</v>
      </c>
      <c r="D145" s="456" t="s">
        <v>150</v>
      </c>
      <c r="E145" s="457" t="s">
        <v>2183</v>
      </c>
      <c r="F145" s="458">
        <v>1</v>
      </c>
      <c r="G145" s="459" t="s">
        <v>260</v>
      </c>
      <c r="H145" s="460"/>
      <c r="I145" s="460" t="s">
        <v>276</v>
      </c>
      <c r="J145" s="460"/>
      <c r="K145" s="460" t="s">
        <v>1411</v>
      </c>
      <c r="L145" s="460">
        <v>60005191</v>
      </c>
      <c r="M145" s="461">
        <v>45622</v>
      </c>
      <c r="N145" s="461">
        <v>45705</v>
      </c>
      <c r="O145" s="494" t="s">
        <v>2184</v>
      </c>
      <c r="P145" s="463" t="str">
        <f>IF(LEFT(B145,5)="09735",
    IF(ISNA(VLOOKUP(Tabla13[[#This Row],[Apoyo]],'LM SAP'!A:G,1,FALSE)),
        "No Disponible",
        IF(VLOOKUP(Tabla13[[#This Row],[Apoyo]],'LM SAP'!A:AD,9,FALSE)="RR",
            "Disponible",
            "Firmas SAP"
        )
    ),
    "CONSULTAR"
)</f>
        <v>No Disponible</v>
      </c>
      <c r="Q145" s="460" t="str">
        <f>MID(Tabla13[[#This Row],[Código Indra]],1,13)</f>
        <v>0973545047500</v>
      </c>
      <c r="R145" s="464" t="str">
        <f>IF(ISNA(VLOOKUP(Tabla13[[#This Row],[Código Indra]],#REF!,1,FALSE)),"NO", "SI")</f>
        <v>SI</v>
      </c>
      <c r="S145" s="460" t="str">
        <f>IF(ISNA(VLOOKUP(Tabla13[[#This Row],[Código Indra]],Tabla132[[Código INDRA]:[Nombre]],1,FALSE)),"NO", "SI")</f>
        <v>NO</v>
      </c>
      <c r="T145" s="465" t="s">
        <v>2005</v>
      </c>
      <c r="U145" s="464" t="s">
        <v>256</v>
      </c>
      <c r="V145" s="464" t="e">
        <f>VLOOKUP(Tabla13[[#This Row],[Apoyo]],'LM SAP'!A:I,9,FALSE)</f>
        <v>#N/A</v>
      </c>
      <c r="X145" s="466">
        <v>0</v>
      </c>
      <c r="Y145" s="464">
        <f>Tabla13[[#This Row],[ID]]</f>
        <v>135</v>
      </c>
    </row>
    <row r="146" spans="1:25" s="464" customFormat="1" ht="24" x14ac:dyDescent="0.25">
      <c r="A146" s="453">
        <v>136</v>
      </c>
      <c r="B146" s="454" t="s">
        <v>832</v>
      </c>
      <c r="C146" s="469" t="s">
        <v>2185</v>
      </c>
      <c r="D146" s="456" t="s">
        <v>150</v>
      </c>
      <c r="E146" s="457" t="s">
        <v>2186</v>
      </c>
      <c r="F146" s="458">
        <v>1</v>
      </c>
      <c r="G146" s="459" t="s">
        <v>260</v>
      </c>
      <c r="H146" s="460"/>
      <c r="I146" s="460" t="s">
        <v>276</v>
      </c>
      <c r="J146" s="460"/>
      <c r="K146" s="460" t="s">
        <v>1411</v>
      </c>
      <c r="L146" s="460">
        <v>60005262</v>
      </c>
      <c r="M146" s="461">
        <v>45623</v>
      </c>
      <c r="N146" s="461">
        <v>45638</v>
      </c>
      <c r="O146" s="470" t="s">
        <v>281</v>
      </c>
      <c r="P146" s="463" t="str">
        <f>IF(LEFT(B146,5)="09735",
    IF(ISNA(VLOOKUP(Tabla13[[#This Row],[Apoyo]],'LM SAP'!A:G,1,FALSE)),
        "No Disponible",
        IF(VLOOKUP(Tabla13[[#This Row],[Apoyo]],'LM SAP'!A:AD,9,FALSE)="RR",
            "Disponible",
            "Firmas SAP"
        )
    ),
    "CONSULTAR"
)</f>
        <v>No Disponible</v>
      </c>
      <c r="Q146" s="460" t="str">
        <f>MID(Tabla13[[#This Row],[Código Indra]],1,13)</f>
        <v>0973545047600</v>
      </c>
      <c r="R146" s="464" t="str">
        <f>IF(ISNA(VLOOKUP(Tabla13[[#This Row],[Código Indra]],#REF!,1,FALSE)),"NO", "SI")</f>
        <v>SI</v>
      </c>
      <c r="S146" s="460" t="str">
        <f>IF(ISNA(VLOOKUP(Tabla13[[#This Row],[Código Indra]],Tabla132[[Código INDRA]:[Nombre]],1,FALSE)),"NO", "SI")</f>
        <v>NO</v>
      </c>
      <c r="T146" s="465" t="s">
        <v>2005</v>
      </c>
      <c r="U146" s="464" t="s">
        <v>256</v>
      </c>
      <c r="V146" s="464" t="e">
        <f>VLOOKUP(Tabla13[[#This Row],[Apoyo]],'LM SAP'!A:I,9,FALSE)</f>
        <v>#N/A</v>
      </c>
      <c r="X146" s="466">
        <v>0</v>
      </c>
      <c r="Y146" s="464">
        <f>Tabla13[[#This Row],[ID]]</f>
        <v>136</v>
      </c>
    </row>
    <row r="147" spans="1:25" s="464" customFormat="1" ht="48" x14ac:dyDescent="0.25">
      <c r="A147" s="453">
        <v>137</v>
      </c>
      <c r="B147" s="454" t="s">
        <v>835</v>
      </c>
      <c r="C147" s="469" t="s">
        <v>2187</v>
      </c>
      <c r="D147" s="456" t="s">
        <v>150</v>
      </c>
      <c r="E147" s="457" t="s">
        <v>2188</v>
      </c>
      <c r="F147" s="458">
        <v>1</v>
      </c>
      <c r="G147" s="459" t="s">
        <v>260</v>
      </c>
      <c r="H147" s="460" t="s">
        <v>2000</v>
      </c>
      <c r="I147" s="460" t="s">
        <v>251</v>
      </c>
      <c r="J147" s="460"/>
      <c r="K147" s="460" t="s">
        <v>220</v>
      </c>
      <c r="L147" s="460">
        <v>60005548</v>
      </c>
      <c r="M147" s="461">
        <v>45678</v>
      </c>
      <c r="N147" s="461">
        <v>45722</v>
      </c>
      <c r="O147" s="467" t="s">
        <v>2189</v>
      </c>
      <c r="P147" s="463" t="str">
        <f>IF(LEFT(B147,5)="09735",
    IF(ISNA(VLOOKUP(Tabla13[[#This Row],[Apoyo]],'LM SAP'!A:G,1,FALSE)),
        "No Disponible",
        IF(VLOOKUP(Tabla13[[#This Row],[Apoyo]],'LM SAP'!A:AD,9,FALSE)="RR",
            "Disponible",
            "Firmas SAP"
        )
    ),
    "CONSULTAR"
)</f>
        <v>No Disponible</v>
      </c>
      <c r="Q147" s="460" t="str">
        <f>MID(Tabla13[[#This Row],[Código Indra]],1,13)</f>
        <v>0973545047800</v>
      </c>
      <c r="R147" s="464" t="str">
        <f>IF(ISNA(VLOOKUP(Tabla13[[#This Row],[Código Indra]],#REF!,1,FALSE)),"NO", "SI")</f>
        <v>SI</v>
      </c>
      <c r="S147" s="460" t="str">
        <f>IF(ISNA(VLOOKUP(Tabla13[[#This Row],[Código Indra]],Tabla132[[Código INDRA]:[Nombre]],1,FALSE)),"NO", "SI")</f>
        <v>NO</v>
      </c>
      <c r="T147" s="465"/>
      <c r="U147" s="464" t="s">
        <v>227</v>
      </c>
      <c r="V147" s="464" t="e">
        <f>VLOOKUP(Tabla13[[#This Row],[Apoyo]],'LM SAP'!A:I,9,FALSE)</f>
        <v>#N/A</v>
      </c>
      <c r="X147" s="466">
        <v>0</v>
      </c>
      <c r="Y147" s="464">
        <f>Tabla13[[#This Row],[ID]]</f>
        <v>137</v>
      </c>
    </row>
    <row r="148" spans="1:25" s="464" customFormat="1" ht="24" x14ac:dyDescent="0.25">
      <c r="A148" s="453">
        <v>138</v>
      </c>
      <c r="B148" s="454" t="s">
        <v>837</v>
      </c>
      <c r="C148" s="469" t="s">
        <v>1792</v>
      </c>
      <c r="D148" s="456" t="s">
        <v>150</v>
      </c>
      <c r="E148" s="457" t="s">
        <v>839</v>
      </c>
      <c r="F148" s="458">
        <v>1</v>
      </c>
      <c r="G148" s="459" t="s">
        <v>260</v>
      </c>
      <c r="H148" s="460"/>
      <c r="I148" s="460" t="s">
        <v>276</v>
      </c>
      <c r="J148" s="460"/>
      <c r="K148" s="460" t="s">
        <v>1411</v>
      </c>
      <c r="L148" s="460">
        <v>60005174</v>
      </c>
      <c r="M148" s="461">
        <v>45621</v>
      </c>
      <c r="N148" s="461">
        <v>45666</v>
      </c>
      <c r="O148" s="470"/>
      <c r="P148" s="463" t="str">
        <f>IF(LEFT(B148,5)="09735",
    IF(ISNA(VLOOKUP(Tabla13[[#This Row],[Apoyo]],'LM SAP'!A:G,1,FALSE)),
        "No Disponible",
        IF(VLOOKUP(Tabla13[[#This Row],[Apoyo]],'LM SAP'!A:AD,9,FALSE)="RR",
            "Disponible",
            "Firmas SAP"
        )
    ),
    "CONSULTAR"
)</f>
        <v>No Disponible</v>
      </c>
      <c r="Q148" s="460" t="str">
        <f>MID(Tabla13[[#This Row],[Código Indra]],1,13)</f>
        <v>0973545048000</v>
      </c>
      <c r="R148" s="464" t="str">
        <f>IF(ISNA(VLOOKUP(Tabla13[[#This Row],[Código Indra]],#REF!,1,FALSE)),"NO", "SI")</f>
        <v>SI</v>
      </c>
      <c r="S148" s="460" t="str">
        <f>IF(ISNA(VLOOKUP(Tabla13[[#This Row],[Código Indra]],Tabla132[[Código INDRA]:[Nombre]],1,FALSE)),"NO", "SI")</f>
        <v>SI</v>
      </c>
      <c r="T148" s="465" t="s">
        <v>2190</v>
      </c>
      <c r="U148" s="464" t="s">
        <v>256</v>
      </c>
      <c r="V148" s="464" t="e">
        <f>VLOOKUP(Tabla13[[#This Row],[Apoyo]],'LM SAP'!A:I,9,FALSE)</f>
        <v>#N/A</v>
      </c>
      <c r="X148" s="466">
        <v>0</v>
      </c>
      <c r="Y148" s="464">
        <f>Tabla13[[#This Row],[ID]]</f>
        <v>138</v>
      </c>
    </row>
    <row r="149" spans="1:25" s="464" customFormat="1" ht="36" x14ac:dyDescent="0.25">
      <c r="A149" s="453">
        <v>139</v>
      </c>
      <c r="B149" s="454" t="s">
        <v>1006</v>
      </c>
      <c r="C149" s="469" t="s">
        <v>2191</v>
      </c>
      <c r="D149" s="456" t="s">
        <v>150</v>
      </c>
      <c r="E149" s="457" t="s">
        <v>2192</v>
      </c>
      <c r="F149" s="458">
        <v>1</v>
      </c>
      <c r="G149" s="459" t="s">
        <v>260</v>
      </c>
      <c r="H149" s="460"/>
      <c r="I149" s="460" t="s">
        <v>276</v>
      </c>
      <c r="J149" s="460"/>
      <c r="K149" s="460" t="s">
        <v>1411</v>
      </c>
      <c r="L149" s="460">
        <v>60005192</v>
      </c>
      <c r="M149" s="461">
        <v>45622</v>
      </c>
      <c r="N149" s="461">
        <v>45638</v>
      </c>
      <c r="O149" s="470" t="s">
        <v>2193</v>
      </c>
      <c r="P149" s="463" t="str">
        <f>IF(LEFT(B149,5)="09735",
    IF(ISNA(VLOOKUP(Tabla13[[#This Row],[Apoyo]],'LM SAP'!A:G,1,FALSE)),
        "No Disponible",
        IF(VLOOKUP(Tabla13[[#This Row],[Apoyo]],'LM SAP'!A:AD,9,FALSE)="RR",
            "Disponible",
            "Firmas SAP"
        )
    ),
    "CONSULTAR"
)</f>
        <v>No Disponible</v>
      </c>
      <c r="Q149" s="460" t="str">
        <f>MID(Tabla13[[#This Row],[Código Indra]],1,13)</f>
        <v>0973545048100</v>
      </c>
      <c r="R149" s="464" t="str">
        <f>IF(ISNA(VLOOKUP(Tabla13[[#This Row],[Código Indra]],#REF!,1,FALSE)),"NO", "SI")</f>
        <v>SI</v>
      </c>
      <c r="S149" s="460" t="str">
        <f>IF(ISNA(VLOOKUP(Tabla13[[#This Row],[Código Indra]],Tabla132[[Código INDRA]:[Nombre]],1,FALSE)),"NO", "SI")</f>
        <v>NO</v>
      </c>
      <c r="T149" s="465"/>
      <c r="U149" s="464" t="s">
        <v>256</v>
      </c>
      <c r="V149" s="464" t="e">
        <f>VLOOKUP(Tabla13[[#This Row],[Apoyo]],'LM SAP'!A:I,9,FALSE)</f>
        <v>#N/A</v>
      </c>
      <c r="X149" s="466">
        <v>0</v>
      </c>
      <c r="Y149" s="464">
        <f>Tabla13[[#This Row],[ID]]</f>
        <v>139</v>
      </c>
    </row>
    <row r="150" spans="1:25" s="464" customFormat="1" ht="24" x14ac:dyDescent="0.25">
      <c r="A150" s="453">
        <v>140</v>
      </c>
      <c r="B150" s="454" t="s">
        <v>841</v>
      </c>
      <c r="C150" s="469" t="s">
        <v>2194</v>
      </c>
      <c r="D150" s="456" t="s">
        <v>150</v>
      </c>
      <c r="E150" s="457" t="s">
        <v>843</v>
      </c>
      <c r="F150" s="458">
        <v>1</v>
      </c>
      <c r="G150" s="459" t="s">
        <v>260</v>
      </c>
      <c r="H150" s="460"/>
      <c r="I150" s="460" t="s">
        <v>276</v>
      </c>
      <c r="J150" s="460"/>
      <c r="K150" s="460" t="s">
        <v>1411</v>
      </c>
      <c r="L150" s="460">
        <v>60005175</v>
      </c>
      <c r="M150" s="461">
        <v>45621</v>
      </c>
      <c r="N150" s="461">
        <v>45638</v>
      </c>
      <c r="O150" s="470" t="s">
        <v>281</v>
      </c>
      <c r="P150" s="463" t="str">
        <f>IF(LEFT(B150,5)="09735",
    IF(ISNA(VLOOKUP(Tabla13[[#This Row],[Apoyo]],'LM SAP'!A:G,1,FALSE)),
        "No Disponible",
        IF(VLOOKUP(Tabla13[[#This Row],[Apoyo]],'LM SAP'!A:AD,9,FALSE)="RR",
            "Disponible",
            "Firmas SAP"
        )
    ),
    "CONSULTAR"
)</f>
        <v>No Disponible</v>
      </c>
      <c r="Q150" s="460" t="str">
        <f>MID(Tabla13[[#This Row],[Código Indra]],1,13)</f>
        <v>0973545048200</v>
      </c>
      <c r="R150" s="464" t="str">
        <f>IF(ISNA(VLOOKUP(Tabla13[[#This Row],[Código Indra]],#REF!,1,FALSE)),"NO", "SI")</f>
        <v>SI</v>
      </c>
      <c r="S150" s="460" t="str">
        <f>IF(ISNA(VLOOKUP(Tabla13[[#This Row],[Código Indra]],Tabla132[[Código INDRA]:[Nombre]],1,FALSE)),"NO", "SI")</f>
        <v>NO</v>
      </c>
      <c r="T150" s="465" t="s">
        <v>2005</v>
      </c>
      <c r="U150" s="464" t="s">
        <v>256</v>
      </c>
      <c r="V150" s="464" t="e">
        <f>VLOOKUP(Tabla13[[#This Row],[Apoyo]],'LM SAP'!A:I,9,FALSE)</f>
        <v>#N/A</v>
      </c>
      <c r="X150" s="466">
        <v>0</v>
      </c>
      <c r="Y150" s="464">
        <f>Tabla13[[#This Row],[ID]]</f>
        <v>140</v>
      </c>
    </row>
    <row r="151" spans="1:25" s="464" customFormat="1" ht="24" x14ac:dyDescent="0.25">
      <c r="A151" s="453">
        <v>141</v>
      </c>
      <c r="B151" s="454" t="s">
        <v>844</v>
      </c>
      <c r="C151" s="469" t="s">
        <v>2195</v>
      </c>
      <c r="D151" s="456" t="s">
        <v>150</v>
      </c>
      <c r="E151" s="457" t="s">
        <v>846</v>
      </c>
      <c r="F151" s="458">
        <v>1</v>
      </c>
      <c r="G151" s="459" t="s">
        <v>260</v>
      </c>
      <c r="H151" s="460"/>
      <c r="I151" s="460" t="s">
        <v>276</v>
      </c>
      <c r="J151" s="460"/>
      <c r="K151" s="460" t="s">
        <v>1411</v>
      </c>
      <c r="L151" s="460">
        <v>60005168</v>
      </c>
      <c r="M151" s="461">
        <v>45621</v>
      </c>
      <c r="N151" s="461">
        <v>45629</v>
      </c>
      <c r="O151" s="494"/>
      <c r="P151" s="463" t="str">
        <f>IF(LEFT(B151,5)="09735",
    IF(ISNA(VLOOKUP(Tabla13[[#This Row],[Apoyo]],'LM SAP'!A:G,1,FALSE)),
        "No Disponible",
        IF(VLOOKUP(Tabla13[[#This Row],[Apoyo]],'LM SAP'!A:AD,9,FALSE)="RR",
            "Disponible",
            "Firmas SAP"
        )
    ),
    "CONSULTAR"
)</f>
        <v>No Disponible</v>
      </c>
      <c r="Q151" s="460" t="str">
        <f>MID(Tabla13[[#This Row],[Código Indra]],1,13)</f>
        <v>0973545048700</v>
      </c>
      <c r="R151" s="464" t="str">
        <f>IF(ISNA(VLOOKUP(Tabla13[[#This Row],[Código Indra]],#REF!,1,FALSE)),"NO", "SI")</f>
        <v>SI</v>
      </c>
      <c r="S151" s="460" t="str">
        <f>IF(ISNA(VLOOKUP(Tabla13[[#This Row],[Código Indra]],Tabla132[[Código INDRA]:[Nombre]],1,FALSE)),"NO", "SI")</f>
        <v>NO</v>
      </c>
      <c r="T151" s="465" t="s">
        <v>2005</v>
      </c>
      <c r="U151" s="464" t="s">
        <v>256</v>
      </c>
      <c r="V151" s="464" t="e">
        <f>VLOOKUP(Tabla13[[#This Row],[Apoyo]],'LM SAP'!A:I,9,FALSE)</f>
        <v>#N/A</v>
      </c>
      <c r="W151" s="464" t="s">
        <v>234</v>
      </c>
      <c r="X151" s="466">
        <v>0</v>
      </c>
      <c r="Y151" s="464">
        <f>Tabla13[[#This Row],[ID]]</f>
        <v>141</v>
      </c>
    </row>
    <row r="152" spans="1:25" s="464" customFormat="1" ht="24" x14ac:dyDescent="0.25">
      <c r="A152" s="453">
        <v>142</v>
      </c>
      <c r="B152" s="454" t="s">
        <v>2196</v>
      </c>
      <c r="C152" s="469" t="s">
        <v>2197</v>
      </c>
      <c r="D152" s="456" t="s">
        <v>150</v>
      </c>
      <c r="E152" s="457" t="s">
        <v>2198</v>
      </c>
      <c r="F152" s="458">
        <v>1</v>
      </c>
      <c r="G152" s="459" t="s">
        <v>260</v>
      </c>
      <c r="H152" s="460"/>
      <c r="I152" s="460" t="s">
        <v>276</v>
      </c>
      <c r="J152" s="460"/>
      <c r="K152" s="460" t="s">
        <v>1411</v>
      </c>
      <c r="L152" s="460">
        <v>60005373</v>
      </c>
      <c r="M152" s="461">
        <v>45639</v>
      </c>
      <c r="N152" s="461">
        <v>45666</v>
      </c>
      <c r="O152" s="470" t="s">
        <v>2199</v>
      </c>
      <c r="P152" s="463" t="str">
        <f>IF(LEFT(B152,5)="09735",
    IF(ISNA(VLOOKUP(Tabla13[[#This Row],[Apoyo]],'LM SAP'!A:G,1,FALSE)),
        "No Disponible",
        IF(VLOOKUP(Tabla13[[#This Row],[Apoyo]],'LM SAP'!A:AD,9,FALSE)="RR",
            "Disponible",
            "Firmas SAP"
        )
    ),
    "CONSULTAR"
)</f>
        <v>No Disponible</v>
      </c>
      <c r="Q152" s="460" t="str">
        <f>MID(Tabla13[[#This Row],[Código Indra]],1,13)</f>
        <v>0973545048800</v>
      </c>
      <c r="R152" s="464" t="str">
        <f>IF(ISNA(VLOOKUP(Tabla13[[#This Row],[Código Indra]],#REF!,1,FALSE)),"NO", "SI")</f>
        <v>SI</v>
      </c>
      <c r="S152" s="460" t="str">
        <f>IF(ISNA(VLOOKUP(Tabla13[[#This Row],[Código Indra]],Tabla132[[Código INDRA]:[Nombre]],1,FALSE)),"NO", "SI")</f>
        <v>NO</v>
      </c>
      <c r="T152" s="465" t="s">
        <v>2005</v>
      </c>
      <c r="U152" s="464" t="s">
        <v>256</v>
      </c>
      <c r="V152" s="464" t="e">
        <f>VLOOKUP(Tabla13[[#This Row],[Apoyo]],'LM SAP'!A:I,9,FALSE)</f>
        <v>#N/A</v>
      </c>
      <c r="X152" s="466">
        <v>0</v>
      </c>
      <c r="Y152" s="464">
        <f>Tabla13[[#This Row],[ID]]</f>
        <v>142</v>
      </c>
    </row>
    <row r="153" spans="1:25" s="464" customFormat="1" ht="24" x14ac:dyDescent="0.25">
      <c r="A153" s="453">
        <v>143</v>
      </c>
      <c r="B153" s="454" t="s">
        <v>88</v>
      </c>
      <c r="C153" s="455" t="s">
        <v>89</v>
      </c>
      <c r="D153" s="456" t="s">
        <v>89</v>
      </c>
      <c r="E153" s="457" t="s">
        <v>2200</v>
      </c>
      <c r="F153" s="458">
        <v>1</v>
      </c>
      <c r="G153" s="459" t="s">
        <v>260</v>
      </c>
      <c r="H153" s="460" t="s">
        <v>2000</v>
      </c>
      <c r="I153" s="460" t="s">
        <v>2011</v>
      </c>
      <c r="J153" s="460"/>
      <c r="K153" s="460" t="s">
        <v>1411</v>
      </c>
      <c r="L153" s="460">
        <v>60005431</v>
      </c>
      <c r="M153" s="461">
        <v>45643</v>
      </c>
      <c r="N153" s="461">
        <v>45665</v>
      </c>
      <c r="O153" s="467" t="s">
        <v>2201</v>
      </c>
      <c r="P153" s="463" t="str">
        <f>IF(LEFT(B153,5)="09735",
    IF(ISNA(VLOOKUP(Tabla13[[#This Row],[Apoyo]],'LM SAP'!A:G,1,FALSE)),
        "No Disponible",
        IF(VLOOKUP(Tabla13[[#This Row],[Apoyo]],'LM SAP'!A:AD,9,FALSE)="RR",
            "Disponible",
            "Firmas SAP"
        )
    ),
    "CONSULTAR"
)</f>
        <v>No Disponible</v>
      </c>
      <c r="Q153" s="460" t="str">
        <f>MID(Tabla13[[#This Row],[Código Indra]],1,13)</f>
        <v>0973524201600</v>
      </c>
      <c r="R153" s="464" t="str">
        <f>IF(ISNA(VLOOKUP(Tabla13[[#This Row],[Código Indra]],#REF!,1,FALSE)),"NO", "SI")</f>
        <v>SI</v>
      </c>
      <c r="S153" s="460" t="str">
        <f>IF(ISNA(VLOOKUP(Tabla13[[#This Row],[Código Indra]],Tabla132[[Código INDRA]:[Nombre]],1,FALSE)),"NO", "SI")</f>
        <v>SI</v>
      </c>
      <c r="T153" s="465"/>
      <c r="U153" s="464" t="s">
        <v>227</v>
      </c>
      <c r="V153" s="464" t="e">
        <f>VLOOKUP(Tabla13[[#This Row],[Apoyo]],'LM SAP'!A:I,9,FALSE)</f>
        <v>#N/A</v>
      </c>
      <c r="W153" s="464" t="s">
        <v>234</v>
      </c>
      <c r="X153" s="466">
        <v>0</v>
      </c>
      <c r="Y153" s="464">
        <f>Tabla13[[#This Row],[ID]]</f>
        <v>143</v>
      </c>
    </row>
    <row r="154" spans="1:25" s="464" customFormat="1" ht="24" x14ac:dyDescent="0.25">
      <c r="A154" s="453">
        <v>144</v>
      </c>
      <c r="B154" s="454" t="s">
        <v>573</v>
      </c>
      <c r="C154" s="469" t="s">
        <v>1797</v>
      </c>
      <c r="D154" s="456" t="s">
        <v>575</v>
      </c>
      <c r="E154" s="457" t="s">
        <v>2202</v>
      </c>
      <c r="F154" s="458">
        <v>1</v>
      </c>
      <c r="G154" s="459"/>
      <c r="H154" s="460"/>
      <c r="I154" s="460" t="s">
        <v>2011</v>
      </c>
      <c r="J154" s="460"/>
      <c r="K154" s="460" t="s">
        <v>1411</v>
      </c>
      <c r="L154" s="460">
        <v>60004724</v>
      </c>
      <c r="M154" s="461">
        <v>45595</v>
      </c>
      <c r="N154" s="461">
        <v>45621</v>
      </c>
      <c r="O154" s="470" t="s">
        <v>281</v>
      </c>
      <c r="P154" s="463" t="str">
        <f>IF(LEFT(B154,5)="09735",
    IF(ISNA(VLOOKUP(Tabla13[[#This Row],[Apoyo]],'LM SAP'!A:G,1,FALSE)),
        "No Disponible",
        IF(VLOOKUP(Tabla13[[#This Row],[Apoyo]],'LM SAP'!A:AD,9,FALSE)="RR",
            "Disponible",
            "Firmas SAP"
        )
    ),
    "CONSULTAR"
)</f>
        <v>No Disponible</v>
      </c>
      <c r="Q154" s="460" t="str">
        <f>MID(Tabla13[[#This Row],[Código Indra]],1,13)</f>
        <v>0973545009100</v>
      </c>
      <c r="R154" s="464" t="str">
        <f>IF(ISNA(VLOOKUP(Tabla13[[#This Row],[Código Indra]],#REF!,1,FALSE)),"NO", "SI")</f>
        <v>SI</v>
      </c>
      <c r="S154" s="460" t="str">
        <f>IF(ISNA(VLOOKUP(Tabla13[[#This Row],[Código Indra]],Tabla132[[Código INDRA]:[Nombre]],1,FALSE)),"NO", "SI")</f>
        <v>SI</v>
      </c>
      <c r="T154" s="465" t="s">
        <v>2111</v>
      </c>
      <c r="U154" s="464" t="s">
        <v>256</v>
      </c>
      <c r="V154" s="464" t="e">
        <f>VLOOKUP(Tabla13[[#This Row],[Apoyo]],'LM SAP'!A:I,9,FALSE)</f>
        <v>#N/A</v>
      </c>
      <c r="W154" s="464" t="s">
        <v>234</v>
      </c>
      <c r="X154" s="466">
        <v>10</v>
      </c>
      <c r="Y154" s="464">
        <f>Tabla13[[#This Row],[ID]]</f>
        <v>144</v>
      </c>
    </row>
    <row r="155" spans="1:25" s="464" customFormat="1" ht="24" x14ac:dyDescent="0.25">
      <c r="A155" s="453">
        <v>145</v>
      </c>
      <c r="B155" s="454" t="s">
        <v>573</v>
      </c>
      <c r="C155" s="469" t="s">
        <v>2203</v>
      </c>
      <c r="D155" s="456" t="s">
        <v>575</v>
      </c>
      <c r="E155" s="457"/>
      <c r="F155" s="458">
        <v>1</v>
      </c>
      <c r="G155" s="459"/>
      <c r="H155" s="460"/>
      <c r="I155" s="460" t="s">
        <v>2011</v>
      </c>
      <c r="J155" s="460"/>
      <c r="K155" s="460" t="s">
        <v>1411</v>
      </c>
      <c r="L155" s="460">
        <v>60005539</v>
      </c>
      <c r="M155" s="461">
        <v>45670</v>
      </c>
      <c r="N155" s="461">
        <v>45677</v>
      </c>
      <c r="O155" s="513" t="s">
        <v>300</v>
      </c>
      <c r="P155" s="463" t="str">
        <f>IF(LEFT(B155,5)="09735",
    IF(ISNA(VLOOKUP(Tabla13[[#This Row],[Apoyo]],'LM SAP'!A:G,1,FALSE)),
        "No Disponible",
        IF(VLOOKUP(Tabla13[[#This Row],[Apoyo]],'LM SAP'!A:AD,9,FALSE)="RR",
            "Disponible",
            "Firmas SAP"
        )
    ),
    "CONSULTAR"
)</f>
        <v>No Disponible</v>
      </c>
      <c r="Q155" s="460" t="str">
        <f>MID(Tabla13[[#This Row],[Código Indra]],1,13)</f>
        <v>0973545009100</v>
      </c>
      <c r="R155" s="464" t="str">
        <f>IF(ISNA(VLOOKUP(Tabla13[[#This Row],[Código Indra]],#REF!,1,FALSE)),"NO", "SI")</f>
        <v>SI</v>
      </c>
      <c r="S155" s="460" t="str">
        <f>IF(ISNA(VLOOKUP(Tabla13[[#This Row],[Código Indra]],Tabla132[[Código INDRA]:[Nombre]],1,FALSE)),"NO", "SI")</f>
        <v>SI</v>
      </c>
      <c r="T155" s="465" t="s">
        <v>2005</v>
      </c>
      <c r="U155" s="464" t="s">
        <v>256</v>
      </c>
      <c r="V155" s="464" t="e">
        <f>VLOOKUP(Tabla13[[#This Row],[Apoyo]],'LM SAP'!A:I,9,FALSE)</f>
        <v>#N/A</v>
      </c>
      <c r="W155" s="464" t="s">
        <v>234</v>
      </c>
      <c r="X155" s="466">
        <v>10</v>
      </c>
      <c r="Y155" s="464">
        <f>Tabla13[[#This Row],[ID]]</f>
        <v>145</v>
      </c>
    </row>
    <row r="156" spans="1:25" s="464" customFormat="1" ht="24" x14ac:dyDescent="0.25">
      <c r="A156" s="453">
        <v>146</v>
      </c>
      <c r="B156" s="454" t="s">
        <v>577</v>
      </c>
      <c r="C156" s="469" t="s">
        <v>2204</v>
      </c>
      <c r="D156" s="456" t="s">
        <v>575</v>
      </c>
      <c r="E156" s="457"/>
      <c r="F156" s="458">
        <v>1</v>
      </c>
      <c r="G156" s="459"/>
      <c r="H156" s="460"/>
      <c r="I156" s="460" t="s">
        <v>2011</v>
      </c>
      <c r="J156" s="460"/>
      <c r="K156" s="460" t="s">
        <v>1411</v>
      </c>
      <c r="L156" s="460">
        <v>60005540</v>
      </c>
      <c r="M156" s="461">
        <v>45670</v>
      </c>
      <c r="N156" s="461">
        <v>45681</v>
      </c>
      <c r="O156" s="470" t="s">
        <v>300</v>
      </c>
      <c r="P156" s="463" t="str">
        <f>IF(LEFT(B156,5)="09735",
    IF(ISNA(VLOOKUP(Tabla13[[#This Row],[Apoyo]],'LM SAP'!A:G,1,FALSE)),
        "No Disponible",
        IF(VLOOKUP(Tabla13[[#This Row],[Apoyo]],'LM SAP'!A:AD,9,FALSE)="RR",
            "Disponible",
            "Firmas SAP"
        )
    ),
    "CONSULTAR"
)</f>
        <v>No Disponible</v>
      </c>
      <c r="Q156" s="460" t="str">
        <f>MID(Tabla13[[#This Row],[Código Indra]],1,13)</f>
        <v>0973545009200</v>
      </c>
      <c r="R156" s="464" t="str">
        <f>IF(ISNA(VLOOKUP(Tabla13[[#This Row],[Código Indra]],#REF!,1,FALSE)),"NO", "SI")</f>
        <v>SI</v>
      </c>
      <c r="S156" s="460" t="str">
        <f>IF(ISNA(VLOOKUP(Tabla13[[#This Row],[Código Indra]],Tabla132[[Código INDRA]:[Nombre]],1,FALSE)),"NO", "SI")</f>
        <v>SI</v>
      </c>
      <c r="T156" s="465" t="s">
        <v>2005</v>
      </c>
      <c r="U156" s="464" t="s">
        <v>256</v>
      </c>
      <c r="V156" s="464" t="e">
        <f>VLOOKUP(Tabla13[[#This Row],[Apoyo]],'LM SAP'!A:I,9,FALSE)</f>
        <v>#N/A</v>
      </c>
      <c r="W156" s="464" t="s">
        <v>234</v>
      </c>
      <c r="X156" s="466">
        <v>10</v>
      </c>
      <c r="Y156" s="464">
        <f>Tabla13[[#This Row],[ID]]</f>
        <v>146</v>
      </c>
    </row>
    <row r="157" spans="1:25" s="464" customFormat="1" ht="24" x14ac:dyDescent="0.25">
      <c r="A157" s="453">
        <v>147</v>
      </c>
      <c r="B157" s="454" t="s">
        <v>577</v>
      </c>
      <c r="C157" s="469" t="s">
        <v>1801</v>
      </c>
      <c r="D157" s="456" t="s">
        <v>575</v>
      </c>
      <c r="E157" s="457" t="s">
        <v>2205</v>
      </c>
      <c r="F157" s="458">
        <v>1</v>
      </c>
      <c r="G157" s="459"/>
      <c r="H157" s="460"/>
      <c r="I157" s="460" t="s">
        <v>2011</v>
      </c>
      <c r="J157" s="460"/>
      <c r="K157" s="460" t="s">
        <v>1411</v>
      </c>
      <c r="L157" s="460">
        <v>60004725</v>
      </c>
      <c r="M157" s="461">
        <v>45595</v>
      </c>
      <c r="N157" s="461">
        <v>45621</v>
      </c>
      <c r="O157" s="470" t="s">
        <v>281</v>
      </c>
      <c r="P157" s="463" t="str">
        <f>IF(LEFT(B157,5)="09735",
    IF(ISNA(VLOOKUP(Tabla13[[#This Row],[Apoyo]],'LM SAP'!A:G,1,FALSE)),
        "No Disponible",
        IF(VLOOKUP(Tabla13[[#This Row],[Apoyo]],'LM SAP'!A:AD,9,FALSE)="RR",
            "Disponible",
            "Firmas SAP"
        )
    ),
    "CONSULTAR"
)</f>
        <v>No Disponible</v>
      </c>
      <c r="Q157" s="460" t="str">
        <f>MID(Tabla13[[#This Row],[Código Indra]],1,13)</f>
        <v>0973545009200</v>
      </c>
      <c r="R157" s="464" t="str">
        <f>IF(ISNA(VLOOKUP(Tabla13[[#This Row],[Código Indra]],#REF!,1,FALSE)),"NO", "SI")</f>
        <v>SI</v>
      </c>
      <c r="S157" s="460" t="str">
        <f>IF(ISNA(VLOOKUP(Tabla13[[#This Row],[Código Indra]],Tabla132[[Código INDRA]:[Nombre]],1,FALSE)),"NO", "SI")</f>
        <v>SI</v>
      </c>
      <c r="T157" s="465" t="s">
        <v>2111</v>
      </c>
      <c r="U157" s="464" t="s">
        <v>256</v>
      </c>
      <c r="V157" s="464" t="e">
        <f>VLOOKUP(Tabla13[[#This Row],[Apoyo]],'LM SAP'!A:I,9,FALSE)</f>
        <v>#N/A</v>
      </c>
      <c r="W157" s="464" t="s">
        <v>234</v>
      </c>
      <c r="X157" s="466">
        <v>10</v>
      </c>
      <c r="Y157" s="464">
        <f>Tabla13[[#This Row],[ID]]</f>
        <v>147</v>
      </c>
    </row>
    <row r="158" spans="1:25" s="464" customFormat="1" ht="24" x14ac:dyDescent="0.25">
      <c r="A158" s="453">
        <v>148</v>
      </c>
      <c r="B158" s="454" t="s">
        <v>580</v>
      </c>
      <c r="C158" s="469" t="s">
        <v>1802</v>
      </c>
      <c r="D158" s="456" t="s">
        <v>575</v>
      </c>
      <c r="E158" s="457" t="s">
        <v>2206</v>
      </c>
      <c r="F158" s="458">
        <v>1</v>
      </c>
      <c r="G158" s="459"/>
      <c r="H158" s="460"/>
      <c r="I158" s="460" t="s">
        <v>2011</v>
      </c>
      <c r="J158" s="460"/>
      <c r="K158" s="460" t="s">
        <v>1411</v>
      </c>
      <c r="L158" s="460">
        <v>60004726</v>
      </c>
      <c r="M158" s="461">
        <v>45595</v>
      </c>
      <c r="N158" s="461">
        <v>45621</v>
      </c>
      <c r="O158" s="470" t="s">
        <v>281</v>
      </c>
      <c r="P158" s="463" t="str">
        <f>IF(LEFT(B158,5)="09735",
    IF(ISNA(VLOOKUP(Tabla13[[#This Row],[Apoyo]],'LM SAP'!A:G,1,FALSE)),
        "No Disponible",
        IF(VLOOKUP(Tabla13[[#This Row],[Apoyo]],'LM SAP'!A:AD,9,FALSE)="RR",
            "Disponible",
            "Firmas SAP"
        )
    ),
    "CONSULTAR"
)</f>
        <v>No Disponible</v>
      </c>
      <c r="Q158" s="460" t="str">
        <f>MID(Tabla13[[#This Row],[Código Indra]],1,13)</f>
        <v>0973545009300</v>
      </c>
      <c r="R158" s="464" t="str">
        <f>IF(ISNA(VLOOKUP(Tabla13[[#This Row],[Código Indra]],#REF!,1,FALSE)),"NO", "SI")</f>
        <v>SI</v>
      </c>
      <c r="S158" s="460" t="str">
        <f>IF(ISNA(VLOOKUP(Tabla13[[#This Row],[Código Indra]],Tabla132[[Código INDRA]:[Nombre]],1,FALSE)),"NO", "SI")</f>
        <v>SI</v>
      </c>
      <c r="T158" s="465" t="s">
        <v>2111</v>
      </c>
      <c r="U158" s="464" t="s">
        <v>256</v>
      </c>
      <c r="V158" s="464" t="e">
        <f>VLOOKUP(Tabla13[[#This Row],[Apoyo]],'LM SAP'!A:I,9,FALSE)</f>
        <v>#N/A</v>
      </c>
      <c r="W158" s="464" t="s">
        <v>234</v>
      </c>
      <c r="X158" s="466">
        <v>10</v>
      </c>
      <c r="Y158" s="464">
        <f>Tabla13[[#This Row],[ID]]</f>
        <v>148</v>
      </c>
    </row>
    <row r="159" spans="1:25" s="464" customFormat="1" ht="24" x14ac:dyDescent="0.25">
      <c r="A159" s="453">
        <v>149</v>
      </c>
      <c r="B159" s="454" t="s">
        <v>580</v>
      </c>
      <c r="C159" s="469" t="s">
        <v>2207</v>
      </c>
      <c r="D159" s="456" t="s">
        <v>575</v>
      </c>
      <c r="E159" s="457"/>
      <c r="F159" s="458">
        <v>1</v>
      </c>
      <c r="G159" s="459"/>
      <c r="H159" s="460"/>
      <c r="I159" s="460" t="s">
        <v>2011</v>
      </c>
      <c r="J159" s="460"/>
      <c r="K159" s="460" t="s">
        <v>1411</v>
      </c>
      <c r="L159" s="460">
        <v>60005541</v>
      </c>
      <c r="M159" s="461">
        <v>45670</v>
      </c>
      <c r="N159" s="461">
        <v>45677</v>
      </c>
      <c r="O159" s="513" t="s">
        <v>300</v>
      </c>
      <c r="P159" s="463" t="str">
        <f>IF(LEFT(B159,5)="09735",
    IF(ISNA(VLOOKUP(Tabla13[[#This Row],[Apoyo]],'LM SAP'!A:G,1,FALSE)),
        "No Disponible",
        IF(VLOOKUP(Tabla13[[#This Row],[Apoyo]],'LM SAP'!A:AD,9,FALSE)="RR",
            "Disponible",
            "Firmas SAP"
        )
    ),
    "CONSULTAR"
)</f>
        <v>No Disponible</v>
      </c>
      <c r="Q159" s="460" t="str">
        <f>MID(Tabla13[[#This Row],[Código Indra]],1,13)</f>
        <v>0973545009300</v>
      </c>
      <c r="R159" s="464" t="str">
        <f>IF(ISNA(VLOOKUP(Tabla13[[#This Row],[Código Indra]],#REF!,1,FALSE)),"NO", "SI")</f>
        <v>SI</v>
      </c>
      <c r="S159" s="460" t="str">
        <f>IF(ISNA(VLOOKUP(Tabla13[[#This Row],[Código Indra]],Tabla132[[Código INDRA]:[Nombre]],1,FALSE)),"NO", "SI")</f>
        <v>SI</v>
      </c>
      <c r="T159" s="465" t="s">
        <v>2005</v>
      </c>
      <c r="U159" s="464" t="s">
        <v>256</v>
      </c>
      <c r="V159" s="464" t="e">
        <f>VLOOKUP(Tabla13[[#This Row],[Apoyo]],'LM SAP'!A:I,9,FALSE)</f>
        <v>#N/A</v>
      </c>
      <c r="W159" s="464" t="s">
        <v>234</v>
      </c>
      <c r="X159" s="466">
        <v>10</v>
      </c>
      <c r="Y159" s="464">
        <f>Tabla13[[#This Row],[ID]]</f>
        <v>149</v>
      </c>
    </row>
    <row r="160" spans="1:25" s="464" customFormat="1" ht="72" x14ac:dyDescent="0.25">
      <c r="A160" s="453">
        <v>150</v>
      </c>
      <c r="B160" s="454" t="s">
        <v>163</v>
      </c>
      <c r="C160" s="455" t="s">
        <v>164</v>
      </c>
      <c r="D160" s="456" t="s">
        <v>61</v>
      </c>
      <c r="E160" s="457" t="s">
        <v>1366</v>
      </c>
      <c r="F160" s="458">
        <v>1</v>
      </c>
      <c r="G160" s="514" t="s">
        <v>163</v>
      </c>
      <c r="H160" s="460"/>
      <c r="I160" s="460" t="s">
        <v>251</v>
      </c>
      <c r="J160" s="460"/>
      <c r="K160" s="460" t="s">
        <v>1411</v>
      </c>
      <c r="L160" s="460">
        <v>60005432</v>
      </c>
      <c r="M160" s="461">
        <v>45643</v>
      </c>
      <c r="N160" s="461">
        <v>45677</v>
      </c>
      <c r="O160" s="515" t="s">
        <v>2208</v>
      </c>
      <c r="P160" s="463" t="str">
        <f>IF(LEFT(B160,5)="09735",
    IF(ISNA(VLOOKUP(Tabla13[[#This Row],[Apoyo]],'LM SAP'!A:G,1,FALSE)),
        "No Disponible",
        IF(VLOOKUP(Tabla13[[#This Row],[Apoyo]],'LM SAP'!A:AD,9,FALSE)="RR",
            "Disponible",
            "Firmas SAP"
        )
    ),
    "CONSULTAR"
)</f>
        <v>No Disponible</v>
      </c>
      <c r="Q160" s="460" t="str">
        <f>MID(Tabla13[[#This Row],[Código Indra]],1,13)</f>
        <v>0973524200600</v>
      </c>
      <c r="R160" s="464" t="str">
        <f>IF(ISNA(VLOOKUP(Tabla13[[#This Row],[Código Indra]],#REF!,1,FALSE)),"NO", "SI")</f>
        <v>SI</v>
      </c>
      <c r="S160" s="460" t="str">
        <f>IF(ISNA(VLOOKUP(Tabla13[[#This Row],[Código Indra]],Tabla132[[Código INDRA]:[Nombre]],1,FALSE)),"NO", "SI")</f>
        <v>SI</v>
      </c>
      <c r="T160" s="465"/>
      <c r="U160" s="464" t="s">
        <v>227</v>
      </c>
      <c r="V160" s="464" t="e">
        <f>VLOOKUP(Tabla13[[#This Row],[Apoyo]],'LM SAP'!A:I,9,FALSE)</f>
        <v>#N/A</v>
      </c>
      <c r="W160" s="464" t="s">
        <v>234</v>
      </c>
      <c r="X160" s="466">
        <v>0</v>
      </c>
      <c r="Y160" s="464">
        <f>Tabla13[[#This Row],[ID]]</f>
        <v>150</v>
      </c>
    </row>
    <row r="161" spans="1:25" s="464" customFormat="1" ht="36" x14ac:dyDescent="0.25">
      <c r="A161" s="453">
        <v>151</v>
      </c>
      <c r="B161" s="454" t="s">
        <v>1354</v>
      </c>
      <c r="C161" s="469" t="s">
        <v>1355</v>
      </c>
      <c r="D161" s="456" t="s">
        <v>1296</v>
      </c>
      <c r="E161" s="457" t="s">
        <v>2209</v>
      </c>
      <c r="F161" s="458">
        <v>1</v>
      </c>
      <c r="G161" s="457" t="s">
        <v>163</v>
      </c>
      <c r="H161" s="460"/>
      <c r="I161" s="460" t="s">
        <v>2210</v>
      </c>
      <c r="J161" s="460"/>
      <c r="K161" s="460" t="s">
        <v>1533</v>
      </c>
      <c r="L161" s="460">
        <v>60005432</v>
      </c>
      <c r="M161" s="461"/>
      <c r="N161" s="461"/>
      <c r="O161" s="516" t="s">
        <v>2211</v>
      </c>
      <c r="P161" s="463" t="str">
        <f>IF(LEFT(B161,5)="09735",
    IF(ISNA(VLOOKUP(Tabla13[[#This Row],[Apoyo]],'LM SAP'!A:G,1,FALSE)),
        "No Disponible",
        IF(VLOOKUP(Tabla13[[#This Row],[Apoyo]],'LM SAP'!A:AD,9,FALSE)="RR",
            "Disponible",
            "Firmas SAP"
        )
    ),
    "CONSULTAR"
)</f>
        <v>Disponible</v>
      </c>
      <c r="Q161" s="460" t="str">
        <f>MID(Tabla13[[#This Row],[Código Indra]],1,13)</f>
        <v>0973544200622</v>
      </c>
      <c r="R161" s="464" t="str">
        <f>IF(ISNA(VLOOKUP(Tabla13[[#This Row],[Código Indra]],#REF!,1,FALSE)),"NO", "SI")</f>
        <v>SI</v>
      </c>
      <c r="S161" s="460" t="str">
        <f>IF(ISNA(VLOOKUP(Tabla13[[#This Row],[Código Indra]],Tabla132[[Código INDRA]:[Nombre]],1,FALSE)),"NO", "SI")</f>
        <v>NO</v>
      </c>
      <c r="T161" s="465"/>
      <c r="U161" s="464" t="s">
        <v>256</v>
      </c>
      <c r="V161" s="464" t="str">
        <f>VLOOKUP(Tabla13[[#This Row],[Apoyo]],'LM SAP'!A:I,9,FALSE)</f>
        <v>RR</v>
      </c>
      <c r="W161" s="464" t="s">
        <v>234</v>
      </c>
      <c r="X161" s="466">
        <v>0</v>
      </c>
      <c r="Y161" s="464">
        <f>Tabla13[[#This Row],[ID]]</f>
        <v>151</v>
      </c>
    </row>
    <row r="162" spans="1:25" s="464" customFormat="1" ht="36" x14ac:dyDescent="0.25">
      <c r="A162" s="453">
        <v>152</v>
      </c>
      <c r="B162" s="454" t="s">
        <v>1363</v>
      </c>
      <c r="C162" s="469" t="s">
        <v>1364</v>
      </c>
      <c r="D162" s="456" t="s">
        <v>1296</v>
      </c>
      <c r="E162" s="457" t="s">
        <v>2212</v>
      </c>
      <c r="F162" s="458">
        <v>1</v>
      </c>
      <c r="G162" s="457" t="s">
        <v>163</v>
      </c>
      <c r="H162" s="460"/>
      <c r="I162" s="460" t="s">
        <v>2210</v>
      </c>
      <c r="J162" s="460"/>
      <c r="K162" s="460" t="s">
        <v>1533</v>
      </c>
      <c r="L162" s="460">
        <v>60005432</v>
      </c>
      <c r="M162" s="461"/>
      <c r="N162" s="461"/>
      <c r="O162" s="516" t="s">
        <v>2211</v>
      </c>
      <c r="P162" s="463" t="str">
        <f>IF(LEFT(B162,5)="09735",
    IF(ISNA(VLOOKUP(Tabla13[[#This Row],[Apoyo]],'LM SAP'!A:G,1,FALSE)),
        "No Disponible",
        IF(VLOOKUP(Tabla13[[#This Row],[Apoyo]],'LM SAP'!A:AD,9,FALSE)="RR",
            "Disponible",
            "Firmas SAP"
        )
    ),
    "CONSULTAR"
)</f>
        <v>Disponible</v>
      </c>
      <c r="Q162" s="460" t="str">
        <f>MID(Tabla13[[#This Row],[Código Indra]],1,13)</f>
        <v>0973544200625</v>
      </c>
      <c r="R162" s="464" t="str">
        <f>IF(ISNA(VLOOKUP(Tabla13[[#This Row],[Código Indra]],#REF!,1,FALSE)),"NO", "SI")</f>
        <v>SI</v>
      </c>
      <c r="S162" s="460" t="str">
        <f>IF(ISNA(VLOOKUP(Tabla13[[#This Row],[Código Indra]],Tabla132[[Código INDRA]:[Nombre]],1,FALSE)),"NO", "SI")</f>
        <v>NO</v>
      </c>
      <c r="T162" s="465"/>
      <c r="U162" s="464" t="s">
        <v>256</v>
      </c>
      <c r="V162" s="464" t="str">
        <f>VLOOKUP(Tabla13[[#This Row],[Apoyo]],'LM SAP'!A:I,9,FALSE)</f>
        <v>RR</v>
      </c>
      <c r="W162" s="464" t="s">
        <v>234</v>
      </c>
      <c r="X162" s="466">
        <v>0</v>
      </c>
      <c r="Y162" s="464">
        <f>Tabla13[[#This Row],[ID]]</f>
        <v>152</v>
      </c>
    </row>
    <row r="163" spans="1:25" s="464" customFormat="1" ht="36" x14ac:dyDescent="0.25">
      <c r="A163" s="453">
        <v>153</v>
      </c>
      <c r="B163" s="454" t="s">
        <v>1357</v>
      </c>
      <c r="C163" s="469" t="s">
        <v>1358</v>
      </c>
      <c r="D163" s="456" t="s">
        <v>1296</v>
      </c>
      <c r="E163" s="457" t="s">
        <v>2213</v>
      </c>
      <c r="F163" s="458">
        <v>1</v>
      </c>
      <c r="G163" s="457" t="s">
        <v>163</v>
      </c>
      <c r="H163" s="460"/>
      <c r="I163" s="460" t="s">
        <v>2210</v>
      </c>
      <c r="J163" s="460"/>
      <c r="K163" s="460" t="s">
        <v>1533</v>
      </c>
      <c r="L163" s="460">
        <v>60005432</v>
      </c>
      <c r="M163" s="461"/>
      <c r="N163" s="461"/>
      <c r="O163" s="516" t="s">
        <v>2211</v>
      </c>
      <c r="P163" s="463" t="str">
        <f>IF(LEFT(B163,5)="09735",
    IF(ISNA(VLOOKUP(Tabla13[[#This Row],[Apoyo]],'LM SAP'!A:G,1,FALSE)),
        "No Disponible",
        IF(VLOOKUP(Tabla13[[#This Row],[Apoyo]],'LM SAP'!A:AD,9,FALSE)="RR",
            "Disponible",
            "Firmas SAP"
        )
    ),
    "CONSULTAR"
)</f>
        <v>Disponible</v>
      </c>
      <c r="Q163" s="460" t="str">
        <f>MID(Tabla13[[#This Row],[Código Indra]],1,13)</f>
        <v>0973544200623</v>
      </c>
      <c r="R163" s="464" t="str">
        <f>IF(ISNA(VLOOKUP(Tabla13[[#This Row],[Código Indra]],#REF!,1,FALSE)),"NO", "SI")</f>
        <v>SI</v>
      </c>
      <c r="S163" s="460" t="str">
        <f>IF(ISNA(VLOOKUP(Tabla13[[#This Row],[Código Indra]],Tabla132[[Código INDRA]:[Nombre]],1,FALSE)),"NO", "SI")</f>
        <v>NO</v>
      </c>
      <c r="T163" s="465"/>
      <c r="U163" s="464" t="s">
        <v>256</v>
      </c>
      <c r="V163" s="464" t="str">
        <f>VLOOKUP(Tabla13[[#This Row],[Apoyo]],'LM SAP'!A:I,9,FALSE)</f>
        <v>RR</v>
      </c>
      <c r="X163" s="466">
        <v>0</v>
      </c>
      <c r="Y163" s="464">
        <f>Tabla13[[#This Row],[ID]]</f>
        <v>153</v>
      </c>
    </row>
    <row r="164" spans="1:25" s="464" customFormat="1" ht="36" x14ac:dyDescent="0.25">
      <c r="A164" s="453">
        <v>154</v>
      </c>
      <c r="B164" s="454" t="s">
        <v>1360</v>
      </c>
      <c r="C164" s="469" t="s">
        <v>1361</v>
      </c>
      <c r="D164" s="456" t="s">
        <v>1296</v>
      </c>
      <c r="E164" s="457" t="s">
        <v>2214</v>
      </c>
      <c r="F164" s="458">
        <v>1</v>
      </c>
      <c r="G164" s="457" t="s">
        <v>163</v>
      </c>
      <c r="H164" s="460"/>
      <c r="I164" s="460" t="s">
        <v>2210</v>
      </c>
      <c r="J164" s="460"/>
      <c r="K164" s="460" t="s">
        <v>1533</v>
      </c>
      <c r="L164" s="460">
        <v>60005432</v>
      </c>
      <c r="M164" s="461"/>
      <c r="N164" s="461"/>
      <c r="O164" s="516" t="s">
        <v>2211</v>
      </c>
      <c r="P164" s="463" t="str">
        <f>IF(LEFT(B164,5)="09735",
    IF(ISNA(VLOOKUP(Tabla13[[#This Row],[Apoyo]],'LM SAP'!A:G,1,FALSE)),
        "No Disponible",
        IF(VLOOKUP(Tabla13[[#This Row],[Apoyo]],'LM SAP'!A:AD,9,FALSE)="RR",
            "Disponible",
            "Firmas SAP"
        )
    ),
    "CONSULTAR"
)</f>
        <v>Disponible</v>
      </c>
      <c r="Q164" s="460" t="str">
        <f>MID(Tabla13[[#This Row],[Código Indra]],1,13)</f>
        <v>0973544200624</v>
      </c>
      <c r="R164" s="464" t="str">
        <f>IF(ISNA(VLOOKUP(Tabla13[[#This Row],[Código Indra]],#REF!,1,FALSE)),"NO", "SI")</f>
        <v>SI</v>
      </c>
      <c r="S164" s="460" t="str">
        <f>IF(ISNA(VLOOKUP(Tabla13[[#This Row],[Código Indra]],Tabla132[[Código INDRA]:[Nombre]],1,FALSE)),"NO", "SI")</f>
        <v>NO</v>
      </c>
      <c r="T164" s="465"/>
      <c r="U164" s="464" t="s">
        <v>256</v>
      </c>
      <c r="V164" s="464" t="str">
        <f>VLOOKUP(Tabla13[[#This Row],[Apoyo]],'LM SAP'!A:I,9,FALSE)</f>
        <v>RR</v>
      </c>
      <c r="W164" s="464" t="s">
        <v>234</v>
      </c>
      <c r="X164" s="466">
        <v>0</v>
      </c>
      <c r="Y164" s="464">
        <f>Tabla13[[#This Row],[ID]]</f>
        <v>154</v>
      </c>
    </row>
    <row r="165" spans="1:25" s="464" customFormat="1" ht="24" x14ac:dyDescent="0.25">
      <c r="A165" s="453">
        <v>155</v>
      </c>
      <c r="B165" s="454" t="s">
        <v>1342</v>
      </c>
      <c r="C165" s="469" t="s">
        <v>1343</v>
      </c>
      <c r="D165" s="456" t="s">
        <v>1296</v>
      </c>
      <c r="E165" s="457" t="s">
        <v>1297</v>
      </c>
      <c r="F165" s="458">
        <v>1</v>
      </c>
      <c r="G165" s="457" t="s">
        <v>163</v>
      </c>
      <c r="H165" s="460"/>
      <c r="I165" s="460" t="s">
        <v>251</v>
      </c>
      <c r="J165" s="460"/>
      <c r="K165" s="460" t="s">
        <v>1533</v>
      </c>
      <c r="L165" s="460">
        <v>60005432</v>
      </c>
      <c r="M165" s="461"/>
      <c r="N165" s="461"/>
      <c r="O165" s="516" t="s">
        <v>2211</v>
      </c>
      <c r="P165" s="463" t="str">
        <f>IF(LEFT(B165,5)="09735",
    IF(ISNA(VLOOKUP(Tabla13[[#This Row],[Apoyo]],'LM SAP'!A:G,1,FALSE)),
        "No Disponible",
        IF(VLOOKUP(Tabla13[[#This Row],[Apoyo]],'LM SAP'!A:AD,9,FALSE)="RR",
            "Disponible",
            "Firmas SAP"
        )
    ),
    "CONSULTAR"
)</f>
        <v>No Disponible</v>
      </c>
      <c r="Q165" s="460" t="str">
        <f>MID(Tabla13[[#This Row],[Código Indra]],1,13)</f>
        <v>0973544200606</v>
      </c>
      <c r="R165" s="464" t="str">
        <f>IF(ISNA(VLOOKUP(Tabla13[[#This Row],[Código Indra]],#REF!,1,FALSE)),"NO", "SI")</f>
        <v>SI</v>
      </c>
      <c r="S165" s="460" t="str">
        <f>IF(ISNA(VLOOKUP(Tabla13[[#This Row],[Código Indra]],Tabla132[[Código INDRA]:[Nombre]],1,FALSE)),"NO", "SI")</f>
        <v>NO</v>
      </c>
      <c r="T165" s="465"/>
      <c r="U165" s="464" t="s">
        <v>256</v>
      </c>
      <c r="V165" s="464" t="e">
        <f>VLOOKUP(Tabla13[[#This Row],[Apoyo]],'LM SAP'!A:I,9,FALSE)</f>
        <v>#N/A</v>
      </c>
      <c r="W165" s="464" t="s">
        <v>234</v>
      </c>
      <c r="X165" s="466">
        <v>0</v>
      </c>
      <c r="Y165" s="464">
        <f>Tabla13[[#This Row],[ID]]</f>
        <v>155</v>
      </c>
    </row>
    <row r="166" spans="1:25" s="464" customFormat="1" ht="36" x14ac:dyDescent="0.25">
      <c r="A166" s="453">
        <v>156</v>
      </c>
      <c r="B166" s="454" t="s">
        <v>1330</v>
      </c>
      <c r="C166" s="469" t="s">
        <v>1331</v>
      </c>
      <c r="D166" s="456" t="s">
        <v>1296</v>
      </c>
      <c r="E166" s="457" t="s">
        <v>2215</v>
      </c>
      <c r="F166" s="458">
        <v>1</v>
      </c>
      <c r="G166" s="457" t="s">
        <v>163</v>
      </c>
      <c r="H166" s="460"/>
      <c r="I166" s="460" t="s">
        <v>251</v>
      </c>
      <c r="J166" s="460"/>
      <c r="K166" s="460" t="s">
        <v>1533</v>
      </c>
      <c r="L166" s="460">
        <v>60005432</v>
      </c>
      <c r="M166" s="461"/>
      <c r="N166" s="461"/>
      <c r="O166" s="516" t="s">
        <v>2211</v>
      </c>
      <c r="P166" s="463" t="str">
        <f>IF(LEFT(B166,5)="09735",
    IF(ISNA(VLOOKUP(Tabla13[[#This Row],[Apoyo]],'LM SAP'!A:G,1,FALSE)),
        "No Disponible",
        IF(VLOOKUP(Tabla13[[#This Row],[Apoyo]],'LM SAP'!A:AD,9,FALSE)="RR",
            "Disponible",
            "Firmas SAP"
        )
    ),
    "CONSULTAR"
)</f>
        <v>Disponible</v>
      </c>
      <c r="Q166" s="460" t="str">
        <f>MID(Tabla13[[#This Row],[Código Indra]],1,13)</f>
        <v>0973544200601</v>
      </c>
      <c r="R166" s="464" t="str">
        <f>IF(ISNA(VLOOKUP(Tabla13[[#This Row],[Código Indra]],#REF!,1,FALSE)),"NO", "SI")</f>
        <v>SI</v>
      </c>
      <c r="S166" s="460" t="str">
        <f>IF(ISNA(VLOOKUP(Tabla13[[#This Row],[Código Indra]],Tabla132[[Código INDRA]:[Nombre]],1,FALSE)),"NO", "SI")</f>
        <v>NO</v>
      </c>
      <c r="T166" s="465"/>
      <c r="U166" s="464" t="s">
        <v>256</v>
      </c>
      <c r="V166" s="464" t="str">
        <f>VLOOKUP(Tabla13[[#This Row],[Apoyo]],'LM SAP'!A:I,9,FALSE)</f>
        <v>RR</v>
      </c>
      <c r="W166" s="464" t="s">
        <v>234</v>
      </c>
      <c r="X166" s="466">
        <v>0</v>
      </c>
      <c r="Y166" s="464">
        <f>Tabla13[[#This Row],[ID]]</f>
        <v>156</v>
      </c>
    </row>
    <row r="167" spans="1:25" s="464" customFormat="1" ht="24" x14ac:dyDescent="0.25">
      <c r="A167" s="453">
        <v>157</v>
      </c>
      <c r="B167" s="454" t="s">
        <v>1348</v>
      </c>
      <c r="C167" s="469" t="s">
        <v>1349</v>
      </c>
      <c r="D167" s="456" t="s">
        <v>1296</v>
      </c>
      <c r="E167" s="457" t="s">
        <v>1297</v>
      </c>
      <c r="F167" s="458">
        <v>1</v>
      </c>
      <c r="G167" s="457" t="s">
        <v>163</v>
      </c>
      <c r="H167" s="460"/>
      <c r="I167" s="460" t="s">
        <v>251</v>
      </c>
      <c r="J167" s="460"/>
      <c r="K167" s="460" t="s">
        <v>1533</v>
      </c>
      <c r="L167" s="460">
        <v>60005432</v>
      </c>
      <c r="M167" s="461"/>
      <c r="N167" s="461"/>
      <c r="O167" s="516" t="s">
        <v>2211</v>
      </c>
      <c r="P167" s="463" t="str">
        <f>IF(LEFT(B167,5)="09735",
    IF(ISNA(VLOOKUP(Tabla13[[#This Row],[Apoyo]],'LM SAP'!A:G,1,FALSE)),
        "No Disponible",
        IF(VLOOKUP(Tabla13[[#This Row],[Apoyo]],'LM SAP'!A:AD,9,FALSE)="RR",
            "Disponible",
            "Firmas SAP"
        )
    ),
    "CONSULTAR"
)</f>
        <v>No Disponible</v>
      </c>
      <c r="Q167" s="460" t="str">
        <f>MID(Tabla13[[#This Row],[Código Indra]],1,13)</f>
        <v>0973544200609</v>
      </c>
      <c r="R167" s="464" t="str">
        <f>IF(ISNA(VLOOKUP(Tabla13[[#This Row],[Código Indra]],#REF!,1,FALSE)),"NO", "SI")</f>
        <v>SI</v>
      </c>
      <c r="S167" s="460" t="str">
        <f>IF(ISNA(VLOOKUP(Tabla13[[#This Row],[Código Indra]],Tabla132[[Código INDRA]:[Nombre]],1,FALSE)),"NO", "SI")</f>
        <v>NO</v>
      </c>
      <c r="T167" s="465"/>
      <c r="U167" s="464" t="s">
        <v>256</v>
      </c>
      <c r="V167" s="464" t="e">
        <f>VLOOKUP(Tabla13[[#This Row],[Apoyo]],'LM SAP'!A:I,9,FALSE)</f>
        <v>#N/A</v>
      </c>
      <c r="W167" s="464" t="s">
        <v>234</v>
      </c>
      <c r="X167" s="466">
        <v>0</v>
      </c>
      <c r="Y167" s="464">
        <f>Tabla13[[#This Row],[ID]]</f>
        <v>157</v>
      </c>
    </row>
    <row r="168" spans="1:25" s="464" customFormat="1" ht="24" x14ac:dyDescent="0.25">
      <c r="A168" s="453">
        <v>158</v>
      </c>
      <c r="B168" s="454" t="s">
        <v>1338</v>
      </c>
      <c r="C168" s="469" t="s">
        <v>1339</v>
      </c>
      <c r="D168" s="456" t="s">
        <v>1296</v>
      </c>
      <c r="E168" s="457" t="s">
        <v>1297</v>
      </c>
      <c r="F168" s="458">
        <v>1</v>
      </c>
      <c r="G168" s="457" t="s">
        <v>163</v>
      </c>
      <c r="H168" s="460"/>
      <c r="I168" s="460" t="s">
        <v>251</v>
      </c>
      <c r="J168" s="460"/>
      <c r="K168" s="460" t="s">
        <v>1533</v>
      </c>
      <c r="L168" s="460">
        <v>60005432</v>
      </c>
      <c r="M168" s="461"/>
      <c r="N168" s="461"/>
      <c r="O168" s="516" t="s">
        <v>2211</v>
      </c>
      <c r="P168" s="463" t="str">
        <f>IF(LEFT(B168,5)="09735",
    IF(ISNA(VLOOKUP(Tabla13[[#This Row],[Apoyo]],'LM SAP'!A:G,1,FALSE)),
        "No Disponible",
        IF(VLOOKUP(Tabla13[[#This Row],[Apoyo]],'LM SAP'!A:AD,9,FALSE)="RR",
            "Disponible",
            "Firmas SAP"
        )
    ),
    "CONSULTAR"
)</f>
        <v>Disponible</v>
      </c>
      <c r="Q168" s="460" t="str">
        <f>MID(Tabla13[[#This Row],[Código Indra]],1,13)</f>
        <v>0973544200604</v>
      </c>
      <c r="R168" s="464" t="str">
        <f>IF(ISNA(VLOOKUP(Tabla13[[#This Row],[Código Indra]],#REF!,1,FALSE)),"NO", "SI")</f>
        <v>SI</v>
      </c>
      <c r="S168" s="460" t="str">
        <f>IF(ISNA(VLOOKUP(Tabla13[[#This Row],[Código Indra]],Tabla132[[Código INDRA]:[Nombre]],1,FALSE)),"NO", "SI")</f>
        <v>NO</v>
      </c>
      <c r="T168" s="465"/>
      <c r="U168" s="464" t="s">
        <v>256</v>
      </c>
      <c r="V168" s="464" t="str">
        <f>VLOOKUP(Tabla13[[#This Row],[Apoyo]],'LM SAP'!A:I,9,FALSE)</f>
        <v>RR</v>
      </c>
      <c r="W168" s="464" t="s">
        <v>234</v>
      </c>
      <c r="X168" s="466">
        <v>0</v>
      </c>
      <c r="Y168" s="464">
        <f>Tabla13[[#This Row],[ID]]</f>
        <v>158</v>
      </c>
    </row>
    <row r="169" spans="1:25" s="464" customFormat="1" ht="24" x14ac:dyDescent="0.25">
      <c r="A169" s="453">
        <v>159</v>
      </c>
      <c r="B169" s="454" t="s">
        <v>1352</v>
      </c>
      <c r="C169" s="469" t="s">
        <v>1353</v>
      </c>
      <c r="D169" s="456" t="s">
        <v>1296</v>
      </c>
      <c r="E169" s="457" t="s">
        <v>1297</v>
      </c>
      <c r="F169" s="458">
        <v>1</v>
      </c>
      <c r="G169" s="457" t="s">
        <v>163</v>
      </c>
      <c r="H169" s="460"/>
      <c r="I169" s="460" t="s">
        <v>251</v>
      </c>
      <c r="J169" s="460"/>
      <c r="K169" s="460" t="s">
        <v>1533</v>
      </c>
      <c r="L169" s="460">
        <v>60005432</v>
      </c>
      <c r="M169" s="461"/>
      <c r="N169" s="461"/>
      <c r="O169" s="516" t="s">
        <v>2211</v>
      </c>
      <c r="P169" s="463" t="str">
        <f>IF(LEFT(B169,5)="09735",
    IF(ISNA(VLOOKUP(Tabla13[[#This Row],[Apoyo]],'LM SAP'!A:G,1,FALSE)),
        "No Disponible",
        IF(VLOOKUP(Tabla13[[#This Row],[Apoyo]],'LM SAP'!A:AD,9,FALSE)="RR",
            "Disponible",
            "Firmas SAP"
        )
    ),
    "CONSULTAR"
)</f>
        <v>No Disponible</v>
      </c>
      <c r="Q169" s="460" t="str">
        <f>MID(Tabla13[[#This Row],[Código Indra]],1,13)</f>
        <v>0973544200611</v>
      </c>
      <c r="R169" s="464" t="str">
        <f>IF(ISNA(VLOOKUP(Tabla13[[#This Row],[Código Indra]],#REF!,1,FALSE)),"NO", "SI")</f>
        <v>SI</v>
      </c>
      <c r="S169" s="460" t="str">
        <f>IF(ISNA(VLOOKUP(Tabla13[[#This Row],[Código Indra]],Tabla132[[Código INDRA]:[Nombre]],1,FALSE)),"NO", "SI")</f>
        <v>NO</v>
      </c>
      <c r="T169" s="465"/>
      <c r="U169" s="464" t="s">
        <v>256</v>
      </c>
      <c r="V169" s="464" t="e">
        <f>VLOOKUP(Tabla13[[#This Row],[Apoyo]],'LM SAP'!A:I,9,FALSE)</f>
        <v>#N/A</v>
      </c>
      <c r="X169" s="466">
        <v>0</v>
      </c>
      <c r="Y169" s="464">
        <f>Tabla13[[#This Row],[ID]]</f>
        <v>159</v>
      </c>
    </row>
    <row r="170" spans="1:25" s="464" customFormat="1" ht="24" x14ac:dyDescent="0.25">
      <c r="A170" s="453">
        <v>160</v>
      </c>
      <c r="B170" s="454" t="s">
        <v>1344</v>
      </c>
      <c r="C170" s="469" t="s">
        <v>1345</v>
      </c>
      <c r="D170" s="456" t="s">
        <v>1296</v>
      </c>
      <c r="E170" s="457" t="s">
        <v>1297</v>
      </c>
      <c r="F170" s="458">
        <v>1</v>
      </c>
      <c r="G170" s="457" t="s">
        <v>163</v>
      </c>
      <c r="H170" s="460"/>
      <c r="I170" s="460" t="s">
        <v>251</v>
      </c>
      <c r="J170" s="460"/>
      <c r="K170" s="460" t="s">
        <v>1533</v>
      </c>
      <c r="L170" s="460">
        <v>60005432</v>
      </c>
      <c r="M170" s="461"/>
      <c r="N170" s="461"/>
      <c r="O170" s="516" t="s">
        <v>2211</v>
      </c>
      <c r="P170" s="463" t="str">
        <f>IF(LEFT(B170,5)="09735",
    IF(ISNA(VLOOKUP(Tabla13[[#This Row],[Apoyo]],'LM SAP'!A:G,1,FALSE)),
        "No Disponible",
        IF(VLOOKUP(Tabla13[[#This Row],[Apoyo]],'LM SAP'!A:AD,9,FALSE)="RR",
            "Disponible",
            "Firmas SAP"
        )
    ),
    "CONSULTAR"
)</f>
        <v>No Disponible</v>
      </c>
      <c r="Q170" s="460" t="str">
        <f>MID(Tabla13[[#This Row],[Código Indra]],1,13)</f>
        <v>0973544200607</v>
      </c>
      <c r="R170" s="464" t="str">
        <f>IF(ISNA(VLOOKUP(Tabla13[[#This Row],[Código Indra]],#REF!,1,FALSE)),"NO", "SI")</f>
        <v>SI</v>
      </c>
      <c r="S170" s="460" t="str">
        <f>IF(ISNA(VLOOKUP(Tabla13[[#This Row],[Código Indra]],Tabla132[[Código INDRA]:[Nombre]],1,FALSE)),"NO", "SI")</f>
        <v>NO</v>
      </c>
      <c r="T170" s="465"/>
      <c r="U170" s="464" t="s">
        <v>256</v>
      </c>
      <c r="V170" s="464" t="e">
        <f>VLOOKUP(Tabla13[[#This Row],[Apoyo]],'LM SAP'!A:I,9,FALSE)</f>
        <v>#N/A</v>
      </c>
      <c r="X170" s="466">
        <v>0</v>
      </c>
      <c r="Y170" s="464">
        <f>Tabla13[[#This Row],[ID]]</f>
        <v>160</v>
      </c>
    </row>
    <row r="171" spans="1:25" s="464" customFormat="1" ht="24" x14ac:dyDescent="0.25">
      <c r="A171" s="453">
        <v>161</v>
      </c>
      <c r="B171" s="454" t="s">
        <v>1333</v>
      </c>
      <c r="C171" s="469" t="s">
        <v>1334</v>
      </c>
      <c r="D171" s="456" t="s">
        <v>1296</v>
      </c>
      <c r="E171" s="457" t="s">
        <v>1297</v>
      </c>
      <c r="F171" s="458">
        <v>1</v>
      </c>
      <c r="G171" s="457" t="s">
        <v>163</v>
      </c>
      <c r="H171" s="460"/>
      <c r="I171" s="460" t="s">
        <v>251</v>
      </c>
      <c r="J171" s="460"/>
      <c r="K171" s="460" t="s">
        <v>1533</v>
      </c>
      <c r="L171" s="460">
        <v>60005432</v>
      </c>
      <c r="M171" s="461"/>
      <c r="N171" s="461"/>
      <c r="O171" s="516" t="s">
        <v>2211</v>
      </c>
      <c r="P171" s="463" t="str">
        <f>IF(LEFT(B171,5)="09735",
    IF(ISNA(VLOOKUP(Tabla13[[#This Row],[Apoyo]],'LM SAP'!A:G,1,FALSE)),
        "No Disponible",
        IF(VLOOKUP(Tabla13[[#This Row],[Apoyo]],'LM SAP'!A:AD,9,FALSE)="RR",
            "Disponible",
            "Firmas SAP"
        )
    ),
    "CONSULTAR"
)</f>
        <v>Disponible</v>
      </c>
      <c r="Q171" s="460" t="str">
        <f>MID(Tabla13[[#This Row],[Código Indra]],1,13)</f>
        <v>0973544200602</v>
      </c>
      <c r="R171" s="464" t="str">
        <f>IF(ISNA(VLOOKUP(Tabla13[[#This Row],[Código Indra]],#REF!,1,FALSE)),"NO", "SI")</f>
        <v>SI</v>
      </c>
      <c r="S171" s="460" t="str">
        <f>IF(ISNA(VLOOKUP(Tabla13[[#This Row],[Código Indra]],Tabla132[[Código INDRA]:[Nombre]],1,FALSE)),"NO", "SI")</f>
        <v>NO</v>
      </c>
      <c r="T171" s="465"/>
      <c r="U171" s="464" t="s">
        <v>256</v>
      </c>
      <c r="V171" s="464" t="str">
        <f>VLOOKUP(Tabla13[[#This Row],[Apoyo]],'LM SAP'!A:I,9,FALSE)</f>
        <v>RR</v>
      </c>
      <c r="W171" s="464" t="s">
        <v>234</v>
      </c>
      <c r="X171" s="466">
        <v>0</v>
      </c>
      <c r="Y171" s="464">
        <f>Tabla13[[#This Row],[ID]]</f>
        <v>161</v>
      </c>
    </row>
    <row r="172" spans="1:25" s="464" customFormat="1" ht="24" x14ac:dyDescent="0.25">
      <c r="A172" s="453">
        <v>162</v>
      </c>
      <c r="B172" s="454" t="s">
        <v>1340</v>
      </c>
      <c r="C172" s="469" t="s">
        <v>1341</v>
      </c>
      <c r="D172" s="456" t="s">
        <v>1296</v>
      </c>
      <c r="E172" s="457" t="s">
        <v>1297</v>
      </c>
      <c r="F172" s="458">
        <v>1</v>
      </c>
      <c r="G172" s="457" t="s">
        <v>163</v>
      </c>
      <c r="H172" s="460"/>
      <c r="I172" s="460" t="s">
        <v>251</v>
      </c>
      <c r="J172" s="460"/>
      <c r="K172" s="460" t="s">
        <v>1533</v>
      </c>
      <c r="L172" s="460">
        <v>60005432</v>
      </c>
      <c r="M172" s="461"/>
      <c r="N172" s="461"/>
      <c r="O172" s="516" t="s">
        <v>2211</v>
      </c>
      <c r="P172" s="463" t="str">
        <f>IF(LEFT(B172,5)="09735",
    IF(ISNA(VLOOKUP(Tabla13[[#This Row],[Apoyo]],'LM SAP'!A:G,1,FALSE)),
        "No Disponible",
        IF(VLOOKUP(Tabla13[[#This Row],[Apoyo]],'LM SAP'!A:AD,9,FALSE)="RR",
            "Disponible",
            "Firmas SAP"
        )
    ),
    "CONSULTAR"
)</f>
        <v>Disponible</v>
      </c>
      <c r="Q172" s="460" t="str">
        <f>MID(Tabla13[[#This Row],[Código Indra]],1,13)</f>
        <v>0973544200605</v>
      </c>
      <c r="R172" s="464" t="str">
        <f>IF(ISNA(VLOOKUP(Tabla13[[#This Row],[Código Indra]],#REF!,1,FALSE)),"NO", "SI")</f>
        <v>SI</v>
      </c>
      <c r="S172" s="460" t="str">
        <f>IF(ISNA(VLOOKUP(Tabla13[[#This Row],[Código Indra]],Tabla132[[Código INDRA]:[Nombre]],1,FALSE)),"NO", "SI")</f>
        <v>NO</v>
      </c>
      <c r="T172" s="465"/>
      <c r="U172" s="464" t="s">
        <v>256</v>
      </c>
      <c r="V172" s="464" t="str">
        <f>VLOOKUP(Tabla13[[#This Row],[Apoyo]],'LM SAP'!A:I,9,FALSE)</f>
        <v>RR</v>
      </c>
      <c r="X172" s="466">
        <v>0</v>
      </c>
      <c r="Y172" s="464">
        <f>Tabla13[[#This Row],[ID]]</f>
        <v>162</v>
      </c>
    </row>
    <row r="173" spans="1:25" s="464" customFormat="1" ht="24" x14ac:dyDescent="0.25">
      <c r="A173" s="453">
        <v>163</v>
      </c>
      <c r="B173" s="454" t="s">
        <v>1346</v>
      </c>
      <c r="C173" s="469" t="s">
        <v>1347</v>
      </c>
      <c r="D173" s="456" t="s">
        <v>1296</v>
      </c>
      <c r="E173" s="457" t="s">
        <v>1297</v>
      </c>
      <c r="F173" s="458">
        <v>1</v>
      </c>
      <c r="G173" s="457" t="s">
        <v>163</v>
      </c>
      <c r="H173" s="460"/>
      <c r="I173" s="460" t="s">
        <v>251</v>
      </c>
      <c r="J173" s="460"/>
      <c r="K173" s="460" t="s">
        <v>1533</v>
      </c>
      <c r="L173" s="460">
        <v>60005432</v>
      </c>
      <c r="M173" s="461"/>
      <c r="N173" s="461"/>
      <c r="O173" s="516" t="s">
        <v>2211</v>
      </c>
      <c r="P173" s="463" t="str">
        <f>IF(LEFT(B173,5)="09735",
    IF(ISNA(VLOOKUP(Tabla13[[#This Row],[Apoyo]],'LM SAP'!A:G,1,FALSE)),
        "No Disponible",
        IF(VLOOKUP(Tabla13[[#This Row],[Apoyo]],'LM SAP'!A:AD,9,FALSE)="RR",
            "Disponible",
            "Firmas SAP"
        )
    ),
    "CONSULTAR"
)</f>
        <v>No Disponible</v>
      </c>
      <c r="Q173" s="460" t="str">
        <f>MID(Tabla13[[#This Row],[Código Indra]],1,13)</f>
        <v>0973544200608</v>
      </c>
      <c r="R173" s="464" t="str">
        <f>IF(ISNA(VLOOKUP(Tabla13[[#This Row],[Código Indra]],#REF!,1,FALSE)),"NO", "SI")</f>
        <v>SI</v>
      </c>
      <c r="S173" s="460" t="str">
        <f>IF(ISNA(VLOOKUP(Tabla13[[#This Row],[Código Indra]],Tabla132[[Código INDRA]:[Nombre]],1,FALSE)),"NO", "SI")</f>
        <v>NO</v>
      </c>
      <c r="T173" s="465"/>
      <c r="U173" s="464" t="s">
        <v>256</v>
      </c>
      <c r="V173" s="464" t="e">
        <f>VLOOKUP(Tabla13[[#This Row],[Apoyo]],'LM SAP'!A:I,9,FALSE)</f>
        <v>#N/A</v>
      </c>
      <c r="W173" s="464" t="s">
        <v>234</v>
      </c>
      <c r="X173" s="466">
        <v>0</v>
      </c>
      <c r="Y173" s="464">
        <f>Tabla13[[#This Row],[ID]]</f>
        <v>163</v>
      </c>
    </row>
    <row r="174" spans="1:25" s="464" customFormat="1" ht="24" x14ac:dyDescent="0.25">
      <c r="A174" s="453">
        <v>164</v>
      </c>
      <c r="B174" s="454" t="s">
        <v>1336</v>
      </c>
      <c r="C174" s="469" t="s">
        <v>1337</v>
      </c>
      <c r="D174" s="456" t="s">
        <v>1296</v>
      </c>
      <c r="E174" s="457" t="s">
        <v>1297</v>
      </c>
      <c r="F174" s="458">
        <v>1</v>
      </c>
      <c r="G174" s="457" t="s">
        <v>163</v>
      </c>
      <c r="H174" s="460"/>
      <c r="I174" s="460" t="s">
        <v>251</v>
      </c>
      <c r="J174" s="460"/>
      <c r="K174" s="460" t="s">
        <v>1411</v>
      </c>
      <c r="L174" s="460">
        <v>60005432</v>
      </c>
      <c r="M174" s="461"/>
      <c r="N174" s="461"/>
      <c r="O174" s="516" t="s">
        <v>2211</v>
      </c>
      <c r="P174" s="463" t="str">
        <f>IF(LEFT(B174,5)="09735",
    IF(ISNA(VLOOKUP(Tabla13[[#This Row],[Apoyo]],'LM SAP'!A:G,1,FALSE)),
        "No Disponible",
        IF(VLOOKUP(Tabla13[[#This Row],[Apoyo]],'LM SAP'!A:AD,9,FALSE)="RR",
            "Disponible",
            "Firmas SAP"
        )
    ),
    "CONSULTAR"
)</f>
        <v>Disponible</v>
      </c>
      <c r="Q174" s="460" t="str">
        <f>MID(Tabla13[[#This Row],[Código Indra]],1,13)</f>
        <v>0973544200603</v>
      </c>
      <c r="R174" s="464" t="str">
        <f>IF(ISNA(VLOOKUP(Tabla13[[#This Row],[Código Indra]],#REF!,1,FALSE)),"NO", "SI")</f>
        <v>SI</v>
      </c>
      <c r="S174" s="460" t="str">
        <f>IF(ISNA(VLOOKUP(Tabla13[[#This Row],[Código Indra]],Tabla132[[Código INDRA]:[Nombre]],1,FALSE)),"NO", "SI")</f>
        <v>NO</v>
      </c>
      <c r="T174" s="465"/>
      <c r="U174" s="464" t="s">
        <v>256</v>
      </c>
      <c r="V174" s="464" t="str">
        <f>VLOOKUP(Tabla13[[#This Row],[Apoyo]],'LM SAP'!A:I,9,FALSE)</f>
        <v>RR</v>
      </c>
      <c r="W174" s="464" t="s">
        <v>234</v>
      </c>
      <c r="X174" s="466">
        <v>0</v>
      </c>
      <c r="Y174" s="464">
        <f>Tabla13[[#This Row],[ID]]</f>
        <v>164</v>
      </c>
    </row>
    <row r="175" spans="1:25" s="464" customFormat="1" ht="24" x14ac:dyDescent="0.25">
      <c r="A175" s="453">
        <v>165</v>
      </c>
      <c r="B175" s="454" t="s">
        <v>1350</v>
      </c>
      <c r="C175" s="469" t="s">
        <v>1351</v>
      </c>
      <c r="D175" s="456" t="s">
        <v>1296</v>
      </c>
      <c r="E175" s="457" t="s">
        <v>1297</v>
      </c>
      <c r="F175" s="458">
        <v>1</v>
      </c>
      <c r="G175" s="457" t="s">
        <v>163</v>
      </c>
      <c r="H175" s="460"/>
      <c r="I175" s="460" t="s">
        <v>251</v>
      </c>
      <c r="J175" s="460"/>
      <c r="K175" s="460" t="s">
        <v>1411</v>
      </c>
      <c r="L175" s="460">
        <v>60005432</v>
      </c>
      <c r="M175" s="461"/>
      <c r="N175" s="461"/>
      <c r="O175" s="516" t="s">
        <v>2211</v>
      </c>
      <c r="P175" s="463" t="str">
        <f>IF(LEFT(B175,5)="09735",
    IF(ISNA(VLOOKUP(Tabla13[[#This Row],[Apoyo]],'LM SAP'!A:G,1,FALSE)),
        "No Disponible",
        IF(VLOOKUP(Tabla13[[#This Row],[Apoyo]],'LM SAP'!A:AD,9,FALSE)="RR",
            "Disponible",
            "Firmas SAP"
        )
    ),
    "CONSULTAR"
)</f>
        <v>No Disponible</v>
      </c>
      <c r="Q175" s="460" t="str">
        <f>MID(Tabla13[[#This Row],[Código Indra]],1,13)</f>
        <v>0973544200610</v>
      </c>
      <c r="R175" s="464" t="str">
        <f>IF(ISNA(VLOOKUP(Tabla13[[#This Row],[Código Indra]],#REF!,1,FALSE)),"NO", "SI")</f>
        <v>SI</v>
      </c>
      <c r="S175" s="460" t="str">
        <f>IF(ISNA(VLOOKUP(Tabla13[[#This Row],[Código Indra]],Tabla132[[Código INDRA]:[Nombre]],1,FALSE)),"NO", "SI")</f>
        <v>NO</v>
      </c>
      <c r="T175" s="465"/>
      <c r="U175" s="464" t="s">
        <v>256</v>
      </c>
      <c r="V175" s="464" t="e">
        <f>VLOOKUP(Tabla13[[#This Row],[Apoyo]],'LM SAP'!A:I,9,FALSE)</f>
        <v>#N/A</v>
      </c>
      <c r="X175" s="466">
        <v>0</v>
      </c>
      <c r="Y175" s="464">
        <f>Tabla13[[#This Row],[ID]]</f>
        <v>165</v>
      </c>
    </row>
    <row r="176" spans="1:25" s="464" customFormat="1" ht="24" x14ac:dyDescent="0.25">
      <c r="A176" s="453">
        <v>166</v>
      </c>
      <c r="B176" s="454" t="s">
        <v>1294</v>
      </c>
      <c r="C176" s="469" t="s">
        <v>1295</v>
      </c>
      <c r="D176" s="456" t="s">
        <v>1296</v>
      </c>
      <c r="E176" s="457" t="s">
        <v>1297</v>
      </c>
      <c r="F176" s="458">
        <v>1</v>
      </c>
      <c r="G176" s="457" t="s">
        <v>163</v>
      </c>
      <c r="H176" s="460"/>
      <c r="I176" s="460" t="s">
        <v>251</v>
      </c>
      <c r="J176" s="460"/>
      <c r="K176" s="460" t="s">
        <v>1411</v>
      </c>
      <c r="L176" s="460">
        <v>60005432</v>
      </c>
      <c r="M176" s="461"/>
      <c r="N176" s="461"/>
      <c r="O176" s="516" t="s">
        <v>2211</v>
      </c>
      <c r="P176" s="463" t="str">
        <f>IF(LEFT(B176,5)="09735",
    IF(ISNA(VLOOKUP(Tabla13[[#This Row],[Apoyo]],'LM SAP'!A:G,1,FALSE)),
        "No Disponible",
        IF(VLOOKUP(Tabla13[[#This Row],[Apoyo]],'LM SAP'!A:AD,9,FALSE)="RR",
            "Disponible",
            "Firmas SAP"
        )
    ),
    "CONSULTAR"
)</f>
        <v>Disponible</v>
      </c>
      <c r="Q176" s="460" t="str">
        <f>MID(Tabla13[[#This Row],[Código Indra]],1,13)</f>
        <v>0973544200615</v>
      </c>
      <c r="R176" s="464" t="str">
        <f>IF(ISNA(VLOOKUP(Tabla13[[#This Row],[Código Indra]],#REF!,1,FALSE)),"NO", "SI")</f>
        <v>SI</v>
      </c>
      <c r="S176" s="460" t="str">
        <f>IF(ISNA(VLOOKUP(Tabla13[[#This Row],[Código Indra]],Tabla132[[Código INDRA]:[Nombre]],1,FALSE)),"NO", "SI")</f>
        <v>NO</v>
      </c>
      <c r="T176" s="465"/>
      <c r="U176" s="464" t="s">
        <v>256</v>
      </c>
      <c r="V176" s="464" t="str">
        <f>VLOOKUP(Tabla13[[#This Row],[Apoyo]],'LM SAP'!A:I,9,FALSE)</f>
        <v>RR</v>
      </c>
      <c r="W176" s="464" t="s">
        <v>234</v>
      </c>
      <c r="X176" s="466">
        <v>0</v>
      </c>
      <c r="Y176" s="464">
        <f>Tabla13[[#This Row],[ID]]</f>
        <v>166</v>
      </c>
    </row>
    <row r="177" spans="1:25" s="464" customFormat="1" ht="24" x14ac:dyDescent="0.25">
      <c r="A177" s="453">
        <v>167</v>
      </c>
      <c r="B177" s="454" t="s">
        <v>1299</v>
      </c>
      <c r="C177" s="469" t="s">
        <v>1300</v>
      </c>
      <c r="D177" s="456" t="s">
        <v>1296</v>
      </c>
      <c r="E177" s="457" t="s">
        <v>1297</v>
      </c>
      <c r="F177" s="458">
        <v>1</v>
      </c>
      <c r="G177" s="457" t="s">
        <v>163</v>
      </c>
      <c r="H177" s="460"/>
      <c r="I177" s="460" t="s">
        <v>251</v>
      </c>
      <c r="J177" s="460"/>
      <c r="K177" s="460" t="s">
        <v>1411</v>
      </c>
      <c r="L177" s="460">
        <v>60005432</v>
      </c>
      <c r="M177" s="461"/>
      <c r="N177" s="461"/>
      <c r="O177" s="516" t="s">
        <v>2211</v>
      </c>
      <c r="P177" s="463" t="str">
        <f>IF(LEFT(B177,5)="09735",
    IF(ISNA(VLOOKUP(Tabla13[[#This Row],[Apoyo]],'LM SAP'!A:G,1,FALSE)),
        "No Disponible",
        IF(VLOOKUP(Tabla13[[#This Row],[Apoyo]],'LM SAP'!A:AD,9,FALSE)="RR",
            "Disponible",
            "Firmas SAP"
        )
    ),
    "CONSULTAR"
)</f>
        <v>Disponible</v>
      </c>
      <c r="Q177" s="460" t="str">
        <f>MID(Tabla13[[#This Row],[Código Indra]],1,13)</f>
        <v>0973544200616</v>
      </c>
      <c r="R177" s="464" t="str">
        <f>IF(ISNA(VLOOKUP(Tabla13[[#This Row],[Código Indra]],#REF!,1,FALSE)),"NO", "SI")</f>
        <v>SI</v>
      </c>
      <c r="S177" s="460" t="str">
        <f>IF(ISNA(VLOOKUP(Tabla13[[#This Row],[Código Indra]],Tabla132[[Código INDRA]:[Nombre]],1,FALSE)),"NO", "SI")</f>
        <v>NO</v>
      </c>
      <c r="T177" s="465"/>
      <c r="U177" s="464" t="s">
        <v>256</v>
      </c>
      <c r="V177" s="464" t="str">
        <f>VLOOKUP(Tabla13[[#This Row],[Apoyo]],'LM SAP'!A:I,9,FALSE)</f>
        <v>RR</v>
      </c>
      <c r="W177" s="464" t="s">
        <v>234</v>
      </c>
      <c r="X177" s="466">
        <v>0</v>
      </c>
      <c r="Y177" s="464">
        <f>Tabla13[[#This Row],[ID]]</f>
        <v>167</v>
      </c>
    </row>
    <row r="178" spans="1:25" s="464" customFormat="1" ht="24" x14ac:dyDescent="0.25">
      <c r="A178" s="453">
        <v>168</v>
      </c>
      <c r="B178" s="454" t="s">
        <v>1301</v>
      </c>
      <c r="C178" s="469" t="s">
        <v>1302</v>
      </c>
      <c r="D178" s="456" t="s">
        <v>1296</v>
      </c>
      <c r="E178" s="457" t="s">
        <v>1297</v>
      </c>
      <c r="F178" s="458">
        <v>1</v>
      </c>
      <c r="G178" s="457" t="s">
        <v>163</v>
      </c>
      <c r="H178" s="460"/>
      <c r="I178" s="460" t="s">
        <v>251</v>
      </c>
      <c r="J178" s="460"/>
      <c r="K178" s="460" t="s">
        <v>1411</v>
      </c>
      <c r="L178" s="460">
        <v>60005432</v>
      </c>
      <c r="M178" s="461"/>
      <c r="N178" s="461"/>
      <c r="O178" s="516" t="s">
        <v>2211</v>
      </c>
      <c r="P178" s="463" t="str">
        <f>IF(LEFT(B178,5)="09735",
    IF(ISNA(VLOOKUP(Tabla13[[#This Row],[Apoyo]],'LM SAP'!A:G,1,FALSE)),
        "No Disponible",
        IF(VLOOKUP(Tabla13[[#This Row],[Apoyo]],'LM SAP'!A:AD,9,FALSE)="RR",
            "Disponible",
            "Firmas SAP"
        )
    ),
    "CONSULTAR"
)</f>
        <v>Disponible</v>
      </c>
      <c r="Q178" s="460" t="str">
        <f>MID(Tabla13[[#This Row],[Código Indra]],1,13)</f>
        <v>0973544200617</v>
      </c>
      <c r="R178" s="464" t="str">
        <f>IF(ISNA(VLOOKUP(Tabla13[[#This Row],[Código Indra]],#REF!,1,FALSE)),"NO", "SI")</f>
        <v>SI</v>
      </c>
      <c r="S178" s="460" t="str">
        <f>IF(ISNA(VLOOKUP(Tabla13[[#This Row],[Código Indra]],Tabla132[[Código INDRA]:[Nombre]],1,FALSE)),"NO", "SI")</f>
        <v>NO</v>
      </c>
      <c r="T178" s="465"/>
      <c r="U178" s="464" t="s">
        <v>256</v>
      </c>
      <c r="V178" s="464" t="str">
        <f>VLOOKUP(Tabla13[[#This Row],[Apoyo]],'LM SAP'!A:I,9,FALSE)</f>
        <v>RR</v>
      </c>
      <c r="W178" s="464" t="s">
        <v>234</v>
      </c>
      <c r="X178" s="466">
        <v>0</v>
      </c>
      <c r="Y178" s="464">
        <f>Tabla13[[#This Row],[ID]]</f>
        <v>168</v>
      </c>
    </row>
    <row r="179" spans="1:25" s="464" customFormat="1" ht="24" x14ac:dyDescent="0.25">
      <c r="A179" s="453">
        <v>169</v>
      </c>
      <c r="B179" s="454" t="s">
        <v>1303</v>
      </c>
      <c r="C179" s="469" t="s">
        <v>1304</v>
      </c>
      <c r="D179" s="456" t="s">
        <v>1296</v>
      </c>
      <c r="E179" s="457" t="s">
        <v>1297</v>
      </c>
      <c r="F179" s="458">
        <v>1</v>
      </c>
      <c r="G179" s="457" t="s">
        <v>163</v>
      </c>
      <c r="H179" s="460"/>
      <c r="I179" s="460" t="s">
        <v>251</v>
      </c>
      <c r="J179" s="460"/>
      <c r="K179" s="460" t="s">
        <v>1411</v>
      </c>
      <c r="L179" s="460">
        <v>60005432</v>
      </c>
      <c r="M179" s="461"/>
      <c r="N179" s="461"/>
      <c r="O179" s="516" t="s">
        <v>2211</v>
      </c>
      <c r="P179" s="463" t="str">
        <f>IF(LEFT(B179,5)="09735",
    IF(ISNA(VLOOKUP(Tabla13[[#This Row],[Apoyo]],'LM SAP'!A:G,1,FALSE)),
        "No Disponible",
        IF(VLOOKUP(Tabla13[[#This Row],[Apoyo]],'LM SAP'!A:AD,9,FALSE)="RR",
            "Disponible",
            "Firmas SAP"
        )
    ),
    "CONSULTAR"
)</f>
        <v>Disponible</v>
      </c>
      <c r="Q179" s="460" t="str">
        <f>MID(Tabla13[[#This Row],[Código Indra]],1,13)</f>
        <v>0973544200618</v>
      </c>
      <c r="R179" s="464" t="str">
        <f>IF(ISNA(VLOOKUP(Tabla13[[#This Row],[Código Indra]],#REF!,1,FALSE)),"NO", "SI")</f>
        <v>SI</v>
      </c>
      <c r="S179" s="460" t="str">
        <f>IF(ISNA(VLOOKUP(Tabla13[[#This Row],[Código Indra]],Tabla132[[Código INDRA]:[Nombre]],1,FALSE)),"NO", "SI")</f>
        <v>NO</v>
      </c>
      <c r="T179" s="465"/>
      <c r="U179" s="464" t="s">
        <v>256</v>
      </c>
      <c r="V179" s="464" t="str">
        <f>VLOOKUP(Tabla13[[#This Row],[Apoyo]],'LM SAP'!A:I,9,FALSE)</f>
        <v>RR</v>
      </c>
      <c r="W179" s="464" t="s">
        <v>234</v>
      </c>
      <c r="X179" s="466">
        <v>0</v>
      </c>
      <c r="Y179" s="464">
        <f>Tabla13[[#This Row],[ID]]</f>
        <v>169</v>
      </c>
    </row>
    <row r="180" spans="1:25" s="464" customFormat="1" ht="24" x14ac:dyDescent="0.25">
      <c r="A180" s="453">
        <v>170</v>
      </c>
      <c r="B180" s="454" t="s">
        <v>1305</v>
      </c>
      <c r="C180" s="469" t="s">
        <v>1306</v>
      </c>
      <c r="D180" s="456" t="s">
        <v>1296</v>
      </c>
      <c r="E180" s="457" t="s">
        <v>1297</v>
      </c>
      <c r="F180" s="458">
        <v>1</v>
      </c>
      <c r="G180" s="457" t="s">
        <v>163</v>
      </c>
      <c r="H180" s="460"/>
      <c r="I180" s="460" t="s">
        <v>251</v>
      </c>
      <c r="J180" s="460"/>
      <c r="K180" s="460" t="s">
        <v>1411</v>
      </c>
      <c r="L180" s="460">
        <v>60005432</v>
      </c>
      <c r="M180" s="461"/>
      <c r="N180" s="461"/>
      <c r="O180" s="516" t="s">
        <v>2211</v>
      </c>
      <c r="P180" s="463" t="str">
        <f>IF(LEFT(B180,5)="09735",
    IF(ISNA(VLOOKUP(Tabla13[[#This Row],[Apoyo]],'LM SAP'!A:G,1,FALSE)),
        "No Disponible",
        IF(VLOOKUP(Tabla13[[#This Row],[Apoyo]],'LM SAP'!A:AD,9,FALSE)="RR",
            "Disponible",
            "Firmas SAP"
        )
    ),
    "CONSULTAR"
)</f>
        <v>Disponible</v>
      </c>
      <c r="Q180" s="460" t="str">
        <f>MID(Tabla13[[#This Row],[Código Indra]],1,13)</f>
        <v>0973544200619</v>
      </c>
      <c r="R180" s="464" t="str">
        <f>IF(ISNA(VLOOKUP(Tabla13[[#This Row],[Código Indra]],#REF!,1,FALSE)),"NO", "SI")</f>
        <v>SI</v>
      </c>
      <c r="S180" s="460" t="str">
        <f>IF(ISNA(VLOOKUP(Tabla13[[#This Row],[Código Indra]],Tabla132[[Código INDRA]:[Nombre]],1,FALSE)),"NO", "SI")</f>
        <v>NO</v>
      </c>
      <c r="T180" s="465"/>
      <c r="U180" s="464" t="s">
        <v>256</v>
      </c>
      <c r="V180" s="464" t="str">
        <f>VLOOKUP(Tabla13[[#This Row],[Apoyo]],'LM SAP'!A:I,9,FALSE)</f>
        <v>RR</v>
      </c>
      <c r="W180" s="464" t="s">
        <v>234</v>
      </c>
      <c r="X180" s="466">
        <v>0</v>
      </c>
      <c r="Y180" s="464">
        <f>Tabla13[[#This Row],[ID]]</f>
        <v>170</v>
      </c>
    </row>
    <row r="181" spans="1:25" s="464" customFormat="1" ht="24" x14ac:dyDescent="0.25">
      <c r="A181" s="453">
        <v>171</v>
      </c>
      <c r="B181" s="454" t="s">
        <v>1307</v>
      </c>
      <c r="C181" s="469" t="s">
        <v>1308</v>
      </c>
      <c r="D181" s="456" t="s">
        <v>1296</v>
      </c>
      <c r="E181" s="457" t="s">
        <v>1297</v>
      </c>
      <c r="F181" s="458">
        <v>1</v>
      </c>
      <c r="G181" s="460" t="s">
        <v>163</v>
      </c>
      <c r="H181" s="460"/>
      <c r="I181" s="460" t="s">
        <v>251</v>
      </c>
      <c r="J181" s="460"/>
      <c r="K181" s="460" t="s">
        <v>1411</v>
      </c>
      <c r="L181" s="460">
        <v>60005432</v>
      </c>
      <c r="M181" s="461"/>
      <c r="N181" s="461"/>
      <c r="O181" s="516" t="s">
        <v>2211</v>
      </c>
      <c r="P181" s="463" t="str">
        <f>IF(LEFT(B181,5)="09735",
    IF(ISNA(VLOOKUP(Tabla13[[#This Row],[Apoyo]],'LM SAP'!A:G,1,FALSE)),
        "No Disponible",
        IF(VLOOKUP(Tabla13[[#This Row],[Apoyo]],'LM SAP'!A:AD,9,FALSE)="RR",
            "Disponible",
            "Firmas SAP"
        )
    ),
    "CONSULTAR"
)</f>
        <v>Disponible</v>
      </c>
      <c r="Q181" s="460" t="str">
        <f>MID(Tabla13[[#This Row],[Código Indra]],1,13)</f>
        <v>0973544200620</v>
      </c>
      <c r="R181" s="464" t="str">
        <f>IF(ISNA(VLOOKUP(Tabla13[[#This Row],[Código Indra]],#REF!,1,FALSE)),"NO", "SI")</f>
        <v>SI</v>
      </c>
      <c r="S181" s="460" t="str">
        <f>IF(ISNA(VLOOKUP(Tabla13[[#This Row],[Código Indra]],Tabla132[[Código INDRA]:[Nombre]],1,FALSE)),"NO", "SI")</f>
        <v>NO</v>
      </c>
      <c r="T181" s="465"/>
      <c r="U181" s="464" t="s">
        <v>256</v>
      </c>
      <c r="V181" s="464" t="str">
        <f>VLOOKUP(Tabla13[[#This Row],[Apoyo]],'LM SAP'!A:I,9,FALSE)</f>
        <v>RR</v>
      </c>
      <c r="W181" s="464" t="s">
        <v>234</v>
      </c>
      <c r="X181" s="466">
        <v>0</v>
      </c>
      <c r="Y181" s="464">
        <f>Tabla13[[#This Row],[ID]]</f>
        <v>171</v>
      </c>
    </row>
    <row r="182" spans="1:25" s="464" customFormat="1" ht="24" x14ac:dyDescent="0.25">
      <c r="A182" s="453">
        <v>172</v>
      </c>
      <c r="B182" s="454" t="s">
        <v>1309</v>
      </c>
      <c r="C182" s="469" t="s">
        <v>1310</v>
      </c>
      <c r="D182" s="456" t="s">
        <v>1296</v>
      </c>
      <c r="E182" s="457" t="s">
        <v>1297</v>
      </c>
      <c r="F182" s="458">
        <v>1</v>
      </c>
      <c r="G182" s="460" t="s">
        <v>163</v>
      </c>
      <c r="H182" s="460"/>
      <c r="I182" s="460" t="s">
        <v>251</v>
      </c>
      <c r="J182" s="460"/>
      <c r="K182" s="460" t="s">
        <v>1411</v>
      </c>
      <c r="L182" s="460">
        <v>60005432</v>
      </c>
      <c r="M182" s="461"/>
      <c r="N182" s="461"/>
      <c r="O182" s="516" t="s">
        <v>2211</v>
      </c>
      <c r="P182" s="463" t="str">
        <f>IF(LEFT(B182,5)="09735",
    IF(ISNA(VLOOKUP(Tabla13[[#This Row],[Apoyo]],'LM SAP'!A:G,1,FALSE)),
        "No Disponible",
        IF(VLOOKUP(Tabla13[[#This Row],[Apoyo]],'LM SAP'!A:AD,9,FALSE)="RR",
            "Disponible",
            "Firmas SAP"
        )
    ),
    "CONSULTAR"
)</f>
        <v>No Disponible</v>
      </c>
      <c r="Q182" s="460" t="str">
        <f>MID(Tabla13[[#This Row],[Código Indra]],1,13)</f>
        <v>0973544200621</v>
      </c>
      <c r="R182" s="464" t="str">
        <f>IF(ISNA(VLOOKUP(Tabla13[[#This Row],[Código Indra]],#REF!,1,FALSE)),"NO", "SI")</f>
        <v>SI</v>
      </c>
      <c r="S182" s="460" t="str">
        <f>IF(ISNA(VLOOKUP(Tabla13[[#This Row],[Código Indra]],Tabla132[[Código INDRA]:[Nombre]],1,FALSE)),"NO", "SI")</f>
        <v>NO</v>
      </c>
      <c r="T182" s="465"/>
      <c r="U182" s="464" t="s">
        <v>256</v>
      </c>
      <c r="V182" s="464" t="e">
        <f>VLOOKUP(Tabla13[[#This Row],[Apoyo]],'LM SAP'!A:I,9,FALSE)</f>
        <v>#N/A</v>
      </c>
      <c r="W182" s="464" t="s">
        <v>234</v>
      </c>
      <c r="X182" s="466">
        <v>0</v>
      </c>
      <c r="Y182" s="464">
        <f>Tabla13[[#This Row],[ID]]</f>
        <v>172</v>
      </c>
    </row>
    <row r="183" spans="1:25" s="464" customFormat="1" ht="120" x14ac:dyDescent="0.25">
      <c r="A183" s="453">
        <v>173</v>
      </c>
      <c r="B183" s="471" t="s">
        <v>35</v>
      </c>
      <c r="C183" s="455" t="s">
        <v>36</v>
      </c>
      <c r="D183" s="481" t="s">
        <v>190</v>
      </c>
      <c r="E183" s="457" t="s">
        <v>2216</v>
      </c>
      <c r="F183" s="458">
        <v>1</v>
      </c>
      <c r="G183" s="465"/>
      <c r="H183" s="460" t="s">
        <v>2000</v>
      </c>
      <c r="I183" s="460" t="s">
        <v>2011</v>
      </c>
      <c r="J183" s="460" t="s">
        <v>1318</v>
      </c>
      <c r="K183" s="460" t="s">
        <v>220</v>
      </c>
      <c r="L183" s="460">
        <v>60005310</v>
      </c>
      <c r="M183" s="461">
        <v>45634</v>
      </c>
      <c r="N183" s="461">
        <v>45639</v>
      </c>
      <c r="O183" s="467" t="s">
        <v>2217</v>
      </c>
      <c r="P183" s="463" t="str">
        <f>IF(LEFT(B183,5)="09735",
    IF(ISNA(VLOOKUP(Tabla13[[#This Row],[Apoyo]],'LM SAP'!A:G,1,FALSE)),
        "No Disponible",
        IF(VLOOKUP(Tabla13[[#This Row],[Apoyo]],'LM SAP'!A:AD,9,FALSE)="RR",
            "Disponible",
            "Firmas SAP"
        )
    ),
    "CONSULTAR"
)</f>
        <v>Disponible</v>
      </c>
      <c r="Q183" s="460" t="str">
        <f>MID(Tabla13[[#This Row],[Código Indra]],1,13)</f>
        <v>0973525210000</v>
      </c>
      <c r="R183" s="464" t="str">
        <f>IF(ISNA(VLOOKUP(Tabla13[[#This Row],[Código Indra]],#REF!,1,FALSE)),"NO", "SI")</f>
        <v>SI</v>
      </c>
      <c r="S183" s="460" t="str">
        <f>IF(ISNA(VLOOKUP(Tabla13[[#This Row],[Código Indra]],Tabla132[[Código INDRA]:[Nombre]],1,FALSE)),"NO", "SI")</f>
        <v>SI</v>
      </c>
      <c r="T183" s="465"/>
      <c r="U183" s="464" t="s">
        <v>227</v>
      </c>
      <c r="V183" s="464" t="str">
        <f>VLOOKUP(Tabla13[[#This Row],[Apoyo]],'LM SAP'!A:I,9,FALSE)</f>
        <v>RR</v>
      </c>
      <c r="X183" s="466"/>
      <c r="Y183" s="464">
        <f>Tabla13[[#This Row],[ID]]</f>
        <v>173</v>
      </c>
    </row>
    <row r="184" spans="1:25" s="464" customFormat="1" ht="72" x14ac:dyDescent="0.25">
      <c r="A184" s="453">
        <v>174</v>
      </c>
      <c r="B184" s="454" t="s">
        <v>2218</v>
      </c>
      <c r="C184" s="469" t="s">
        <v>2219</v>
      </c>
      <c r="D184" s="456" t="s">
        <v>36</v>
      </c>
      <c r="E184" s="457" t="s">
        <v>2220</v>
      </c>
      <c r="F184" s="458">
        <v>1</v>
      </c>
      <c r="G184" s="465"/>
      <c r="H184" s="460"/>
      <c r="I184" s="460" t="s">
        <v>669</v>
      </c>
      <c r="J184" s="460"/>
      <c r="K184" s="460" t="s">
        <v>1411</v>
      </c>
      <c r="L184" s="460">
        <v>60005712</v>
      </c>
      <c r="M184" s="461">
        <v>45698</v>
      </c>
      <c r="N184" s="461">
        <v>45722</v>
      </c>
      <c r="O184" s="470" t="s">
        <v>2221</v>
      </c>
      <c r="P184" s="463" t="str">
        <f>IF(LEFT(B184,5)="09735",
    IF(ISNA(VLOOKUP(Tabla13[[#This Row],[Apoyo]],'LM SAP'!A:G,1,FALSE)),
        "No Disponible",
        IF(VLOOKUP(Tabla13[[#This Row],[Apoyo]],'LM SAP'!A:AD,9,FALSE)="RR",
            "Disponible",
            "Firmas SAP"
        )
    ),
    "CONSULTAR"
)</f>
        <v>CONSULTAR</v>
      </c>
      <c r="Q184" s="460" t="str">
        <f>MID(Tabla13[[#This Row],[Código Indra]],1,13)</f>
        <v>0973282321600</v>
      </c>
      <c r="R184" s="464" t="str">
        <f>IF(ISNA(VLOOKUP(Tabla13[[#This Row],[Código Indra]],#REF!,1,FALSE)),"NO", "SI")</f>
        <v>SI</v>
      </c>
      <c r="S184" s="460" t="str">
        <f>IF(ISNA(VLOOKUP(Tabla13[[#This Row],[Código Indra]],Tabla132[[Código INDRA]:[Nombre]],1,FALSE)),"NO", "SI")</f>
        <v>NO</v>
      </c>
      <c r="T184" s="465" t="s">
        <v>2159</v>
      </c>
      <c r="U184" s="464" t="s">
        <v>256</v>
      </c>
      <c r="V184" s="464" t="e">
        <f>VLOOKUP(Tabla13[[#This Row],[Apoyo]],'LM SAP'!A:I,9,FALSE)</f>
        <v>#N/A</v>
      </c>
      <c r="X184" s="466">
        <v>8</v>
      </c>
      <c r="Y184" s="464">
        <f>Tabla13[[#This Row],[ID]]</f>
        <v>174</v>
      </c>
    </row>
    <row r="185" spans="1:25" s="464" customFormat="1" ht="36" x14ac:dyDescent="0.25">
      <c r="A185" s="453">
        <v>175</v>
      </c>
      <c r="B185" s="454" t="s">
        <v>1805</v>
      </c>
      <c r="C185" s="469" t="s">
        <v>2222</v>
      </c>
      <c r="D185" s="456" t="s">
        <v>36</v>
      </c>
      <c r="E185" s="457" t="s">
        <v>2223</v>
      </c>
      <c r="F185" s="458">
        <v>1</v>
      </c>
      <c r="G185" s="465"/>
      <c r="H185" s="460"/>
      <c r="I185" s="460" t="s">
        <v>669</v>
      </c>
      <c r="J185" s="460"/>
      <c r="K185" s="460" t="s">
        <v>1411</v>
      </c>
      <c r="L185" s="460">
        <v>60005713</v>
      </c>
      <c r="M185" s="461">
        <v>45698</v>
      </c>
      <c r="N185" s="461">
        <v>45722</v>
      </c>
      <c r="O185" s="476" t="s">
        <v>2224</v>
      </c>
      <c r="P185" s="463" t="str">
        <f>IF(LEFT(B185,5)="09735",
    IF(ISNA(VLOOKUP(Tabla13[[#This Row],[Apoyo]],'LM SAP'!A:G,1,FALSE)),
        "No Disponible",
        IF(VLOOKUP(Tabla13[[#This Row],[Apoyo]],'LM SAP'!A:AD,9,FALSE)="RR",
            "Disponible",
            "Firmas SAP"
        )
    ),
    "CONSULTAR"
)</f>
        <v>CONSULTAR</v>
      </c>
      <c r="Q185" s="460" t="str">
        <f>MID(Tabla13[[#This Row],[Código Indra]],1,13)</f>
        <v>0972823217000</v>
      </c>
      <c r="R185" s="464" t="str">
        <f>IF(ISNA(VLOOKUP(Tabla13[[#This Row],[Código Indra]],#REF!,1,FALSE)),"NO", "SI")</f>
        <v>SI</v>
      </c>
      <c r="S185" s="460" t="str">
        <f>IF(ISNA(VLOOKUP(Tabla13[[#This Row],[Código Indra]],Tabla132[[Código INDRA]:[Nombre]],1,FALSE)),"NO", "SI")</f>
        <v>SI</v>
      </c>
      <c r="T185" s="465" t="s">
        <v>2159</v>
      </c>
      <c r="U185" s="464" t="s">
        <v>256</v>
      </c>
      <c r="V185" s="464" t="e">
        <f>VLOOKUP(Tabla13[[#This Row],[Apoyo]],'LM SAP'!A:I,9,FALSE)</f>
        <v>#N/A</v>
      </c>
      <c r="X185" s="466">
        <v>2</v>
      </c>
      <c r="Y185" s="464">
        <f>Tabla13[[#This Row],[ID]]</f>
        <v>175</v>
      </c>
    </row>
    <row r="186" spans="1:25" s="464" customFormat="1" ht="72" x14ac:dyDescent="0.25">
      <c r="A186" s="453">
        <v>176</v>
      </c>
      <c r="B186" s="471" t="s">
        <v>40</v>
      </c>
      <c r="C186" s="455" t="s">
        <v>41</v>
      </c>
      <c r="D186" s="456" t="s">
        <v>190</v>
      </c>
      <c r="E186" s="457" t="s">
        <v>2225</v>
      </c>
      <c r="F186" s="458">
        <v>1</v>
      </c>
      <c r="G186" s="465"/>
      <c r="H186" s="460" t="s">
        <v>2000</v>
      </c>
      <c r="I186" s="460" t="s">
        <v>2011</v>
      </c>
      <c r="J186" s="460" t="s">
        <v>1318</v>
      </c>
      <c r="K186" s="460" t="s">
        <v>220</v>
      </c>
      <c r="L186" s="460">
        <v>60005306</v>
      </c>
      <c r="M186" s="461">
        <v>45634</v>
      </c>
      <c r="N186" s="461">
        <v>45639</v>
      </c>
      <c r="O186" s="467" t="s">
        <v>2226</v>
      </c>
      <c r="P186" s="463" t="str">
        <f>IF(LEFT(B186,5)="09735",
    IF(ISNA(VLOOKUP(Tabla13[[#This Row],[Apoyo]],'LM SAP'!A:G,1,FALSE)),
        "No Disponible",
        IF(VLOOKUP(Tabla13[[#This Row],[Apoyo]],'LM SAP'!A:AD,9,FALSE)="RR",
            "Disponible",
            "Firmas SAP"
        )
    ),
    "CONSULTAR"
)</f>
        <v>No Disponible</v>
      </c>
      <c r="Q186" s="460" t="str">
        <f>MID(Tabla13[[#This Row],[Código Indra]],1,13)</f>
        <v>0973525220000</v>
      </c>
      <c r="R186" s="464" t="str">
        <f>IF(ISNA(VLOOKUP(Tabla13[[#This Row],[Código Indra]],#REF!,1,FALSE)),"NO", "SI")</f>
        <v>SI</v>
      </c>
      <c r="S186" s="460" t="str">
        <f>IF(ISNA(VLOOKUP(Tabla13[[#This Row],[Código Indra]],Tabla132[[Código INDRA]:[Nombre]],1,FALSE)),"NO", "SI")</f>
        <v>SI</v>
      </c>
      <c r="T186" s="465"/>
      <c r="U186" s="464" t="s">
        <v>227</v>
      </c>
      <c r="V186" s="464" t="e">
        <f>VLOOKUP(Tabla13[[#This Row],[Apoyo]],'LM SAP'!A:I,9,FALSE)</f>
        <v>#N/A</v>
      </c>
      <c r="W186" s="464" t="s">
        <v>234</v>
      </c>
      <c r="X186" s="466"/>
      <c r="Y186" s="464">
        <f>Tabla13[[#This Row],[ID]]</f>
        <v>176</v>
      </c>
    </row>
    <row r="187" spans="1:25" s="464" customFormat="1" x14ac:dyDescent="0.25">
      <c r="A187" s="453">
        <v>177</v>
      </c>
      <c r="B187" s="454" t="s">
        <v>664</v>
      </c>
      <c r="C187" s="469" t="s">
        <v>665</v>
      </c>
      <c r="D187" s="456" t="s">
        <v>41</v>
      </c>
      <c r="E187" s="457" t="s">
        <v>700</v>
      </c>
      <c r="F187" s="458">
        <v>1</v>
      </c>
      <c r="G187" s="465"/>
      <c r="H187" s="460"/>
      <c r="I187" s="460" t="s">
        <v>2227</v>
      </c>
      <c r="J187" s="460" t="s">
        <v>1318</v>
      </c>
      <c r="K187" s="460" t="s">
        <v>1411</v>
      </c>
      <c r="L187" s="460">
        <v>60005559</v>
      </c>
      <c r="M187" s="461">
        <v>45679</v>
      </c>
      <c r="N187" s="461">
        <v>45688</v>
      </c>
      <c r="O187" s="470" t="s">
        <v>545</v>
      </c>
      <c r="P187" s="463" t="str">
        <f>IF(LEFT(B187,5)="09735",
    IF(ISNA(VLOOKUP(Tabla13[[#This Row],[Apoyo]],'LM SAP'!A:G,1,FALSE)),
        "No Disponible",
        IF(VLOOKUP(Tabla13[[#This Row],[Apoyo]],'LM SAP'!A:AD,9,FALSE)="RR",
            "Disponible",
            "Firmas SAP"
        )
    ),
    "CONSULTAR"
)</f>
        <v>Disponible</v>
      </c>
      <c r="Q187" s="460" t="str">
        <f>MID(Tabla13[[#This Row],[Código Indra]],1,13)</f>
        <v>0973525220400</v>
      </c>
      <c r="R187" s="464" t="str">
        <f>IF(ISNA(VLOOKUP(Tabla13[[#This Row],[Código Indra]],#REF!,1,FALSE)),"NO", "SI")</f>
        <v>SI</v>
      </c>
      <c r="S187" s="460" t="str">
        <f>IF(ISNA(VLOOKUP(Tabla13[[#This Row],[Código Indra]],Tabla132[[Código INDRA]:[Nombre]],1,FALSE)),"NO", "SI")</f>
        <v>NO</v>
      </c>
      <c r="T187" s="465" t="s">
        <v>2005</v>
      </c>
      <c r="U187" s="464" t="s">
        <v>256</v>
      </c>
      <c r="V187" s="464" t="str">
        <f>VLOOKUP(Tabla13[[#This Row],[Apoyo]],'LM SAP'!A:I,9,FALSE)</f>
        <v>RR</v>
      </c>
      <c r="W187" s="464" t="s">
        <v>234</v>
      </c>
      <c r="X187" s="466"/>
      <c r="Y187" s="464">
        <f>Tabla13[[#This Row],[ID]]</f>
        <v>177</v>
      </c>
    </row>
    <row r="188" spans="1:25" s="464" customFormat="1" ht="84" x14ac:dyDescent="0.25">
      <c r="A188" s="453">
        <v>178</v>
      </c>
      <c r="B188" s="454" t="s">
        <v>466</v>
      </c>
      <c r="C188" s="469" t="s">
        <v>1810</v>
      </c>
      <c r="D188" s="456" t="s">
        <v>41</v>
      </c>
      <c r="E188" s="457" t="s">
        <v>2228</v>
      </c>
      <c r="F188" s="458">
        <v>1</v>
      </c>
      <c r="G188" s="465"/>
      <c r="H188" s="460"/>
      <c r="I188" s="460" t="s">
        <v>276</v>
      </c>
      <c r="J188" s="460" t="s">
        <v>1318</v>
      </c>
      <c r="K188" s="460" t="s">
        <v>1411</v>
      </c>
      <c r="L188" s="460">
        <v>60005641</v>
      </c>
      <c r="M188" s="461">
        <v>45681</v>
      </c>
      <c r="N188" s="461">
        <v>45687</v>
      </c>
      <c r="O188" s="470" t="s">
        <v>2229</v>
      </c>
      <c r="P188" s="463" t="str">
        <f>IF(LEFT(B188,5)="09735",
    IF(ISNA(VLOOKUP(Tabla13[[#This Row],[Apoyo]],'LM SAP'!A:G,1,FALSE)),
        "No Disponible",
        IF(VLOOKUP(Tabla13[[#This Row],[Apoyo]],'LM SAP'!A:AD,9,FALSE)="RR",
            "Disponible",
            "Firmas SAP"
        )
    ),
    "CONSULTAR"
)</f>
        <v>Disponible</v>
      </c>
      <c r="Q188" s="460" t="str">
        <f>MID(Tabla13[[#This Row],[Código Indra]],1,13)</f>
        <v>0973525224000</v>
      </c>
      <c r="R188" s="464" t="str">
        <f>IF(ISNA(VLOOKUP(Tabla13[[#This Row],[Código Indra]],#REF!,1,FALSE)),"NO", "SI")</f>
        <v>SI</v>
      </c>
      <c r="S188" s="460" t="str">
        <f>IF(ISNA(VLOOKUP(Tabla13[[#This Row],[Código Indra]],Tabla132[[Código INDRA]:[Nombre]],1,FALSE)),"NO", "SI")</f>
        <v>SI</v>
      </c>
      <c r="T188" s="465" t="s">
        <v>2005</v>
      </c>
      <c r="U188" s="464" t="s">
        <v>256</v>
      </c>
      <c r="V188" s="464" t="str">
        <f>VLOOKUP(Tabla13[[#This Row],[Apoyo]],'LM SAP'!A:I,9,FALSE)</f>
        <v>RR</v>
      </c>
      <c r="W188" s="464" t="s">
        <v>234</v>
      </c>
      <c r="X188" s="466"/>
      <c r="Y188" s="464">
        <f>Tabla13[[#This Row],[ID]]</f>
        <v>178</v>
      </c>
    </row>
    <row r="189" spans="1:25" s="464" customFormat="1" ht="36" x14ac:dyDescent="0.25">
      <c r="A189" s="453">
        <v>179</v>
      </c>
      <c r="B189" s="454" t="s">
        <v>632</v>
      </c>
      <c r="C189" s="469" t="s">
        <v>633</v>
      </c>
      <c r="D189" s="456" t="s">
        <v>41</v>
      </c>
      <c r="E189" s="457" t="s">
        <v>2090</v>
      </c>
      <c r="F189" s="458">
        <v>6</v>
      </c>
      <c r="G189" s="465"/>
      <c r="H189" s="460"/>
      <c r="I189" s="460" t="s">
        <v>276</v>
      </c>
      <c r="J189" s="460" t="s">
        <v>474</v>
      </c>
      <c r="K189" s="460" t="s">
        <v>1411</v>
      </c>
      <c r="L189" s="460">
        <v>60004563</v>
      </c>
      <c r="M189" s="461">
        <v>45572</v>
      </c>
      <c r="N189" s="461">
        <v>45679</v>
      </c>
      <c r="O189" s="470" t="s">
        <v>2091</v>
      </c>
      <c r="P189" s="463" t="str">
        <f>IF(LEFT(B189,5)="09735",
    IF(ISNA(VLOOKUP(Tabla13[[#This Row],[Apoyo]],'LM SAP'!A:G,1,FALSE)),
        "No Disponible",
        IF(VLOOKUP(Tabla13[[#This Row],[Apoyo]],'LM SAP'!A:AD,9,FALSE)="RR",
            "Disponible",
            "Firmas SAP"
        )
    ),
    "CONSULTAR"
)</f>
        <v>CONSULTAR</v>
      </c>
      <c r="Q189" s="460" t="str">
        <f>MID(Tabla13[[#This Row],[Código Indra]],1,13)</f>
        <v>0972828220000</v>
      </c>
      <c r="R189" s="464" t="str">
        <f>IF(ISNA(VLOOKUP(Tabla13[[#This Row],[Código Indra]],#REF!,1,FALSE)),"NO", "SI")</f>
        <v>SI</v>
      </c>
      <c r="S189" s="460" t="str">
        <f>IF(ISNA(VLOOKUP(Tabla13[[#This Row],[Código Indra]],Tabla132[[Código INDRA]:[Nombre]],1,FALSE)),"NO", "SI")</f>
        <v>NO</v>
      </c>
      <c r="T189" s="465" t="s">
        <v>2005</v>
      </c>
      <c r="U189" s="464" t="s">
        <v>256</v>
      </c>
      <c r="V189" s="464" t="e">
        <f>VLOOKUP(Tabla13[[#This Row],[Apoyo]],'LM SAP'!A:I,9,FALSE)</f>
        <v>#N/A</v>
      </c>
      <c r="X189" s="466">
        <v>1</v>
      </c>
      <c r="Y189" s="464">
        <f>Tabla13[[#This Row],[ID]]</f>
        <v>179</v>
      </c>
    </row>
    <row r="190" spans="1:25" s="464" customFormat="1" ht="48" x14ac:dyDescent="0.25">
      <c r="A190" s="453">
        <v>180</v>
      </c>
      <c r="B190" s="454" t="s">
        <v>181</v>
      </c>
      <c r="C190" s="455" t="s">
        <v>182</v>
      </c>
      <c r="D190" s="456" t="s">
        <v>190</v>
      </c>
      <c r="E190" s="457" t="s">
        <v>2230</v>
      </c>
      <c r="F190" s="458">
        <v>1</v>
      </c>
      <c r="G190" s="465"/>
      <c r="H190" s="460" t="s">
        <v>2000</v>
      </c>
      <c r="I190" s="460" t="s">
        <v>276</v>
      </c>
      <c r="J190" s="460" t="s">
        <v>1318</v>
      </c>
      <c r="K190" s="460" t="s">
        <v>220</v>
      </c>
      <c r="L190" s="460">
        <v>60005439</v>
      </c>
      <c r="M190" s="461">
        <v>45665</v>
      </c>
      <c r="N190" s="461">
        <v>45734</v>
      </c>
      <c r="O190" s="467" t="s">
        <v>2231</v>
      </c>
      <c r="P190" s="463" t="str">
        <f>IF(LEFT(B190,5)="09735",
    IF(ISNA(VLOOKUP(Tabla13[[#This Row],[Apoyo]],'LM SAP'!A:G,1,FALSE)),
        "No Disponible",
        IF(VLOOKUP(Tabla13[[#This Row],[Apoyo]],'LM SAP'!A:AD,9,FALSE)="RR",
            "Disponible",
            "Firmas SAP"
        )
    ),
    "CONSULTAR"
)</f>
        <v>No Disponible</v>
      </c>
      <c r="Q190" s="460" t="str">
        <f>MID(Tabla13[[#This Row],[Código Indra]],1,13)</f>
        <v>0973525240000</v>
      </c>
      <c r="R190" s="464" t="str">
        <f>IF(ISNA(VLOOKUP(Tabla13[[#This Row],[Código Indra]],#REF!,1,FALSE)),"NO", "SI")</f>
        <v>SI</v>
      </c>
      <c r="S190" s="460" t="str">
        <f>IF(ISNA(VLOOKUP(Tabla13[[#This Row],[Código Indra]],Tabla132[[Código INDRA]:[Nombre]],1,FALSE)),"NO", "SI")</f>
        <v>SI</v>
      </c>
      <c r="T190" s="465"/>
      <c r="U190" s="464" t="s">
        <v>227</v>
      </c>
      <c r="V190" s="464" t="e">
        <f>VLOOKUP(Tabla13[[#This Row],[Apoyo]],'LM SAP'!A:I,9,FALSE)</f>
        <v>#N/A</v>
      </c>
      <c r="X190" s="466"/>
      <c r="Y190" s="464">
        <f>Tabla13[[#This Row],[ID]]</f>
        <v>180</v>
      </c>
    </row>
    <row r="191" spans="1:25" s="464" customFormat="1" ht="72" x14ac:dyDescent="0.25">
      <c r="A191" s="453">
        <v>181</v>
      </c>
      <c r="B191" s="454" t="s">
        <v>437</v>
      </c>
      <c r="C191" s="469" t="s">
        <v>438</v>
      </c>
      <c r="D191" s="456" t="s">
        <v>182</v>
      </c>
      <c r="E191" s="457" t="s">
        <v>2232</v>
      </c>
      <c r="F191" s="458">
        <v>1</v>
      </c>
      <c r="G191" s="465"/>
      <c r="H191" s="460"/>
      <c r="I191" s="460" t="s">
        <v>276</v>
      </c>
      <c r="J191" s="460" t="s">
        <v>1318</v>
      </c>
      <c r="K191" s="460" t="s">
        <v>1411</v>
      </c>
      <c r="L191" s="460">
        <v>60005361</v>
      </c>
      <c r="M191" s="461">
        <v>45636</v>
      </c>
      <c r="N191" s="461">
        <v>45666</v>
      </c>
      <c r="O191" s="476" t="s">
        <v>2233</v>
      </c>
      <c r="P191" s="463" t="str">
        <f>IF(LEFT(B191,5)="09735",
    IF(ISNA(VLOOKUP(Tabla13[[#This Row],[Apoyo]],'LM SAP'!A:G,1,FALSE)),
        "No Disponible",
        IF(VLOOKUP(Tabla13[[#This Row],[Apoyo]],'LM SAP'!A:AD,9,FALSE)="RR",
            "Disponible",
            "Firmas SAP"
        )
    ),
    "CONSULTAR"
)</f>
        <v>No Disponible</v>
      </c>
      <c r="Q191" s="460" t="str">
        <f>MID(Tabla13[[#This Row],[Código Indra]],1,13)</f>
        <v>0973525240200</v>
      </c>
      <c r="R191" s="464" t="str">
        <f>IF(ISNA(VLOOKUP(Tabla13[[#This Row],[Código Indra]],#REF!,1,FALSE)),"NO", "SI")</f>
        <v>SI</v>
      </c>
      <c r="S191" s="460" t="str">
        <f>IF(ISNA(VLOOKUP(Tabla13[[#This Row],[Código Indra]],Tabla132[[Código INDRA]:[Nombre]],1,FALSE)),"NO", "SI")</f>
        <v>SI</v>
      </c>
      <c r="T191" s="465" t="s">
        <v>2005</v>
      </c>
      <c r="U191" s="464" t="s">
        <v>256</v>
      </c>
      <c r="V191" s="464" t="e">
        <f>VLOOKUP(Tabla13[[#This Row],[Apoyo]],'LM SAP'!A:I,9,FALSE)</f>
        <v>#N/A</v>
      </c>
      <c r="X191" s="466"/>
      <c r="Y191" s="464">
        <f>Tabla13[[#This Row],[ID]]</f>
        <v>181</v>
      </c>
    </row>
    <row r="192" spans="1:25" s="464" customFormat="1" ht="24" x14ac:dyDescent="0.25">
      <c r="A192" s="453">
        <v>182</v>
      </c>
      <c r="B192" s="454" t="s">
        <v>444</v>
      </c>
      <c r="C192" s="469" t="s">
        <v>445</v>
      </c>
      <c r="D192" s="456" t="s">
        <v>182</v>
      </c>
      <c r="E192" s="457" t="s">
        <v>2234</v>
      </c>
      <c r="F192" s="458">
        <v>1</v>
      </c>
      <c r="G192" s="465"/>
      <c r="H192" s="460"/>
      <c r="I192" s="460" t="s">
        <v>276</v>
      </c>
      <c r="J192" s="460" t="s">
        <v>1318</v>
      </c>
      <c r="K192" s="460" t="s">
        <v>1411</v>
      </c>
      <c r="L192" s="460">
        <v>60005362</v>
      </c>
      <c r="M192" s="461">
        <v>45636</v>
      </c>
      <c r="N192" s="461">
        <v>45734</v>
      </c>
      <c r="O192" s="470" t="s">
        <v>300</v>
      </c>
      <c r="P192" s="463" t="str">
        <f>IF(LEFT(B192,5)="09735",
    IF(ISNA(VLOOKUP(Tabla13[[#This Row],[Apoyo]],'LM SAP'!A:G,1,FALSE)),
        "No Disponible",
        IF(VLOOKUP(Tabla13[[#This Row],[Apoyo]],'LM SAP'!A:AD,9,FALSE)="RR",
            "Disponible",
            "Firmas SAP"
        )
    ),
    "CONSULTAR"
)</f>
        <v>No Disponible</v>
      </c>
      <c r="Q192" s="460" t="str">
        <f>MID(Tabla13[[#This Row],[Código Indra]],1,13)</f>
        <v>0973525240400</v>
      </c>
      <c r="R192" s="464" t="str">
        <f>IF(ISNA(VLOOKUP(Tabla13[[#This Row],[Código Indra]],#REF!,1,FALSE)),"NO", "SI")</f>
        <v>SI</v>
      </c>
      <c r="S192" s="460" t="str">
        <f>IF(ISNA(VLOOKUP(Tabla13[[#This Row],[Código Indra]],Tabla132[[Código INDRA]:[Nombre]],1,FALSE)),"NO", "SI")</f>
        <v>SI</v>
      </c>
      <c r="T192" s="465" t="s">
        <v>2005</v>
      </c>
      <c r="U192" s="464" t="s">
        <v>256</v>
      </c>
      <c r="V192" s="464" t="e">
        <f>VLOOKUP(Tabla13[[#This Row],[Apoyo]],'LM SAP'!A:I,9,FALSE)</f>
        <v>#N/A</v>
      </c>
      <c r="X192" s="466"/>
      <c r="Y192" s="464">
        <f>Tabla13[[#This Row],[ID]]</f>
        <v>182</v>
      </c>
    </row>
    <row r="193" spans="1:25" s="464" customFormat="1" ht="24" x14ac:dyDescent="0.25">
      <c r="A193" s="453">
        <v>183</v>
      </c>
      <c r="B193" s="454" t="s">
        <v>1817</v>
      </c>
      <c r="C193" s="469" t="s">
        <v>2235</v>
      </c>
      <c r="D193" s="456" t="s">
        <v>182</v>
      </c>
      <c r="E193" s="457" t="s">
        <v>2236</v>
      </c>
      <c r="F193" s="458">
        <v>1</v>
      </c>
      <c r="G193" s="465"/>
      <c r="H193" s="460"/>
      <c r="I193" s="460" t="s">
        <v>276</v>
      </c>
      <c r="J193" s="460"/>
      <c r="K193" s="460" t="s">
        <v>1411</v>
      </c>
      <c r="L193" s="460">
        <v>60005717</v>
      </c>
      <c r="M193" s="461">
        <v>45699</v>
      </c>
      <c r="N193" s="461">
        <v>45750</v>
      </c>
      <c r="O193" s="470" t="s">
        <v>300</v>
      </c>
      <c r="P193" s="463" t="str">
        <f>IF(LEFT(B193,5)="09735",
    IF(ISNA(VLOOKUP(Tabla13[[#This Row],[Apoyo]],'LM SAP'!A:G,1,FALSE)),
        "No Disponible",
        IF(VLOOKUP(Tabla13[[#This Row],[Apoyo]],'LM SAP'!A:AD,9,FALSE)="RR",
            "Disponible",
            "Firmas SAP"
        )
    ),
    "CONSULTAR"
)</f>
        <v>CONSULTAR</v>
      </c>
      <c r="Q193" s="460" t="str">
        <f>MID(Tabla13[[#This Row],[Código Indra]],1,13)</f>
        <v>0972825240800</v>
      </c>
      <c r="R193" s="464" t="str">
        <f>IF(ISNA(VLOOKUP(Tabla13[[#This Row],[Código Indra]],#REF!,1,FALSE)),"NO", "SI")</f>
        <v>SI</v>
      </c>
      <c r="S193" s="460" t="str">
        <f>IF(ISNA(VLOOKUP(Tabla13[[#This Row],[Código Indra]],Tabla132[[Código INDRA]:[Nombre]],1,FALSE)),"NO", "SI")</f>
        <v>SI</v>
      </c>
      <c r="T193" s="465"/>
      <c r="U193" s="464" t="s">
        <v>256</v>
      </c>
      <c r="V193" s="464" t="e">
        <f>VLOOKUP(Tabla13[[#This Row],[Apoyo]],'LM SAP'!A:I,9,FALSE)</f>
        <v>#N/A</v>
      </c>
      <c r="X193" s="466">
        <v>4</v>
      </c>
      <c r="Y193" s="464">
        <f>Tabla13[[#This Row],[ID]]</f>
        <v>183</v>
      </c>
    </row>
    <row r="194" spans="1:25" s="464" customFormat="1" ht="36" x14ac:dyDescent="0.25">
      <c r="A194" s="453">
        <v>184</v>
      </c>
      <c r="B194" s="454" t="s">
        <v>447</v>
      </c>
      <c r="C194" s="469" t="s">
        <v>448</v>
      </c>
      <c r="D194" s="456" t="s">
        <v>182</v>
      </c>
      <c r="E194" s="457" t="s">
        <v>2237</v>
      </c>
      <c r="F194" s="458">
        <v>1</v>
      </c>
      <c r="G194" s="465"/>
      <c r="H194" s="460"/>
      <c r="I194" s="460" t="s">
        <v>276</v>
      </c>
      <c r="J194" s="460" t="s">
        <v>1318</v>
      </c>
      <c r="K194" s="460" t="s">
        <v>1411</v>
      </c>
      <c r="L194" s="460">
        <v>60005276</v>
      </c>
      <c r="M194" s="461">
        <v>45628</v>
      </c>
      <c r="N194" s="461">
        <v>45747</v>
      </c>
      <c r="O194" s="470" t="s">
        <v>300</v>
      </c>
      <c r="P194" s="463" t="str">
        <f>IF(LEFT(B194,5)="09735",
    IF(ISNA(VLOOKUP(Tabla13[[#This Row],[Apoyo]],'LM SAP'!A:G,1,FALSE)),
        "No Disponible",
        IF(VLOOKUP(Tabla13[[#This Row],[Apoyo]],'LM SAP'!A:AD,9,FALSE)="RR",
            "Disponible",
            "Firmas SAP"
        )
    ),
    "CONSULTAR"
)</f>
        <v>No Disponible</v>
      </c>
      <c r="Q194" s="460" t="str">
        <f>MID(Tabla13[[#This Row],[Código Indra]],1,13)</f>
        <v>0973525240600</v>
      </c>
      <c r="R194" s="464" t="str">
        <f>IF(ISNA(VLOOKUP(Tabla13[[#This Row],[Código Indra]],#REF!,1,FALSE)),"NO", "SI")</f>
        <v>SI</v>
      </c>
      <c r="S194" s="460" t="str">
        <f>IF(ISNA(VLOOKUP(Tabla13[[#This Row],[Código Indra]],Tabla132[[Código INDRA]:[Nombre]],1,FALSE)),"NO", "SI")</f>
        <v>SI</v>
      </c>
      <c r="T194" s="465"/>
      <c r="U194" s="464" t="s">
        <v>256</v>
      </c>
      <c r="V194" s="464" t="e">
        <f>VLOOKUP(Tabla13[[#This Row],[Apoyo]],'LM SAP'!A:I,9,FALSE)</f>
        <v>#N/A</v>
      </c>
      <c r="X194" s="466"/>
      <c r="Y194" s="464">
        <f>Tabla13[[#This Row],[ID]]</f>
        <v>184</v>
      </c>
    </row>
    <row r="195" spans="1:25" s="464" customFormat="1" ht="36" x14ac:dyDescent="0.25">
      <c r="A195" s="453">
        <v>186</v>
      </c>
      <c r="B195" s="454" t="s">
        <v>451</v>
      </c>
      <c r="C195" s="469" t="s">
        <v>452</v>
      </c>
      <c r="D195" s="456" t="s">
        <v>185</v>
      </c>
      <c r="E195" s="457" t="s">
        <v>2238</v>
      </c>
      <c r="F195" s="458">
        <v>1</v>
      </c>
      <c r="G195" s="465"/>
      <c r="H195" s="460"/>
      <c r="I195" s="460" t="s">
        <v>276</v>
      </c>
      <c r="J195" s="460" t="s">
        <v>1318</v>
      </c>
      <c r="K195" s="460" t="s">
        <v>1411</v>
      </c>
      <c r="L195" s="460">
        <v>60005366</v>
      </c>
      <c r="M195" s="461">
        <v>45637</v>
      </c>
      <c r="N195" s="461">
        <v>45734</v>
      </c>
      <c r="O195" s="470" t="s">
        <v>300</v>
      </c>
      <c r="P195" s="463" t="str">
        <f>IF(LEFT(B195,5)="09735",
    IF(ISNA(VLOOKUP(Tabla13[[#This Row],[Apoyo]],'LM SAP'!A:G,1,FALSE)),
        "No Disponible",
        IF(VLOOKUP(Tabla13[[#This Row],[Apoyo]],'LM SAP'!A:AD,9,FALSE)="RR",
            "Disponible",
            "Firmas SAP"
        )
    ),
    "CONSULTAR"
)</f>
        <v>No Disponible</v>
      </c>
      <c r="Q195" s="460" t="str">
        <f>MID(Tabla13[[#This Row],[Código Indra]],1,13)</f>
        <v>0973525270900</v>
      </c>
      <c r="R195" s="464" t="str">
        <f>IF(ISNA(VLOOKUP(Tabla13[[#This Row],[Código Indra]],#REF!,1,FALSE)),"NO", "SI")</f>
        <v>SI</v>
      </c>
      <c r="S195" s="460" t="str">
        <f>IF(ISNA(VLOOKUP(Tabla13[[#This Row],[Código Indra]],Tabla132[[Código INDRA]:[Nombre]],1,FALSE)),"NO", "SI")</f>
        <v>NO</v>
      </c>
      <c r="T195" s="465" t="s">
        <v>2147</v>
      </c>
      <c r="U195" s="464" t="s">
        <v>256</v>
      </c>
      <c r="V195" s="464" t="e">
        <f>VLOOKUP(Tabla13[[#This Row],[Apoyo]],'LM SAP'!A:I,9,FALSE)</f>
        <v>#N/A</v>
      </c>
      <c r="X195" s="466"/>
      <c r="Y195" s="464">
        <f>Tabla13[[#This Row],[ID]]</f>
        <v>186</v>
      </c>
    </row>
    <row r="196" spans="1:25" s="464" customFormat="1" ht="108" x14ac:dyDescent="0.25">
      <c r="A196" s="453">
        <v>187</v>
      </c>
      <c r="B196" s="454" t="s">
        <v>626</v>
      </c>
      <c r="C196" s="469" t="s">
        <v>627</v>
      </c>
      <c r="D196" s="456" t="s">
        <v>190</v>
      </c>
      <c r="E196" s="457" t="s">
        <v>700</v>
      </c>
      <c r="F196" s="458">
        <v>1</v>
      </c>
      <c r="G196" s="465"/>
      <c r="H196" s="460"/>
      <c r="I196" s="460"/>
      <c r="J196" s="460" t="s">
        <v>1318</v>
      </c>
      <c r="K196" s="460" t="s">
        <v>1411</v>
      </c>
      <c r="L196" s="460">
        <v>60004559</v>
      </c>
      <c r="M196" s="461">
        <v>45572</v>
      </c>
      <c r="N196" s="461">
        <v>45580</v>
      </c>
      <c r="O196" s="470" t="s">
        <v>2239</v>
      </c>
      <c r="P196" s="463" t="str">
        <f>IF(LEFT(B196,5)="09735",
    IF(ISNA(VLOOKUP(Tabla13[[#This Row],[Apoyo]],'LM SAP'!A:G,1,FALSE)),
        "No Disponible",
        IF(VLOOKUP(Tabla13[[#This Row],[Apoyo]],'LM SAP'!A:AD,9,FALSE)="RR",
            "Disponible",
            "Firmas SAP"
        )
    ),
    "CONSULTAR"
)</f>
        <v>CONSULTAR</v>
      </c>
      <c r="Q196" s="460" t="str">
        <f>MID(Tabla13[[#This Row],[Código Indra]],1,13)</f>
        <v>0972825271100</v>
      </c>
      <c r="R196" s="464" t="str">
        <f>IF(ISNA(VLOOKUP(Tabla13[[#This Row],[Código Indra]],#REF!,1,FALSE)),"NO", "SI")</f>
        <v>SI</v>
      </c>
      <c r="S196" s="460" t="str">
        <f>IF(ISNA(VLOOKUP(Tabla13[[#This Row],[Código Indra]],Tabla132[[Código INDRA]:[Nombre]],1,FALSE)),"NO", "SI")</f>
        <v>SI</v>
      </c>
      <c r="T196" s="465"/>
      <c r="U196" s="464" t="s">
        <v>256</v>
      </c>
      <c r="V196" s="464" t="e">
        <f>VLOOKUP(Tabla13[[#This Row],[Apoyo]],'LM SAP'!A:I,9,FALSE)</f>
        <v>#N/A</v>
      </c>
      <c r="X196" s="466">
        <v>2</v>
      </c>
      <c r="Y196" s="464">
        <f>Tabla13[[#This Row],[ID]]</f>
        <v>187</v>
      </c>
    </row>
    <row r="197" spans="1:25" s="464" customFormat="1" ht="48" x14ac:dyDescent="0.25">
      <c r="A197" s="453">
        <v>188</v>
      </c>
      <c r="B197" s="454" t="s">
        <v>454</v>
      </c>
      <c r="C197" s="469" t="s">
        <v>455</v>
      </c>
      <c r="D197" s="456" t="s">
        <v>190</v>
      </c>
      <c r="E197" s="457" t="s">
        <v>685</v>
      </c>
      <c r="F197" s="458">
        <v>1</v>
      </c>
      <c r="G197" s="465"/>
      <c r="H197" s="460" t="s">
        <v>2000</v>
      </c>
      <c r="I197" s="460"/>
      <c r="J197" s="460" t="s">
        <v>1318</v>
      </c>
      <c r="K197" s="460" t="s">
        <v>1411</v>
      </c>
      <c r="L197" s="460">
        <v>60004586</v>
      </c>
      <c r="M197" s="461">
        <v>45579</v>
      </c>
      <c r="N197" s="461">
        <v>45583</v>
      </c>
      <c r="O197" s="470" t="s">
        <v>2240</v>
      </c>
      <c r="P197" s="463" t="str">
        <f>IF(LEFT(B197,5)="09735",
    IF(ISNA(VLOOKUP(Tabla13[[#This Row],[Apoyo]],'LM SAP'!A:G,1,FALSE)),
        "No Disponible",
        IF(VLOOKUP(Tabla13[[#This Row],[Apoyo]],'LM SAP'!A:AD,9,FALSE)="RR",
            "Disponible",
            "Firmas SAP"
        )
    ),
    "CONSULTAR"
)</f>
        <v>CONSULTAR</v>
      </c>
      <c r="Q197" s="460" t="str">
        <f>MID(Tabla13[[#This Row],[Código Indra]],1,13)</f>
        <v>0972825271200</v>
      </c>
      <c r="R197" s="464" t="str">
        <f>IF(ISNA(VLOOKUP(Tabla13[[#This Row],[Código Indra]],#REF!,1,FALSE)),"NO", "SI")</f>
        <v>SI</v>
      </c>
      <c r="S197" s="460" t="str">
        <f>IF(ISNA(VLOOKUP(Tabla13[[#This Row],[Código Indra]],Tabla132[[Código INDRA]:[Nombre]],1,FALSE)),"NO", "SI")</f>
        <v>SI</v>
      </c>
      <c r="T197" s="465"/>
      <c r="U197" s="464" t="s">
        <v>256</v>
      </c>
      <c r="V197" s="464" t="e">
        <f>VLOOKUP(Tabla13[[#This Row],[Apoyo]],'LM SAP'!A:I,9,FALSE)</f>
        <v>#N/A</v>
      </c>
      <c r="X197" s="466">
        <v>4</v>
      </c>
      <c r="Y197" s="464">
        <f>Tabla13[[#This Row],[ID]]</f>
        <v>188</v>
      </c>
    </row>
    <row r="198" spans="1:25" s="464" customFormat="1" ht="60" x14ac:dyDescent="0.25">
      <c r="A198" s="453">
        <v>189</v>
      </c>
      <c r="B198" s="454" t="s">
        <v>458</v>
      </c>
      <c r="C198" s="469" t="s">
        <v>459</v>
      </c>
      <c r="D198" s="456" t="s">
        <v>190</v>
      </c>
      <c r="E198" s="457" t="s">
        <v>685</v>
      </c>
      <c r="F198" s="458">
        <v>1</v>
      </c>
      <c r="G198" s="465"/>
      <c r="H198" s="460" t="s">
        <v>2000</v>
      </c>
      <c r="I198" s="460" t="s">
        <v>251</v>
      </c>
      <c r="J198" s="460" t="s">
        <v>1318</v>
      </c>
      <c r="K198" s="460" t="s">
        <v>1411</v>
      </c>
      <c r="L198" s="460">
        <v>60004978</v>
      </c>
      <c r="M198" s="461">
        <v>45610</v>
      </c>
      <c r="N198" s="461">
        <v>45643</v>
      </c>
      <c r="O198" s="470" t="s">
        <v>2241</v>
      </c>
      <c r="P198" s="463" t="str">
        <f>IF(LEFT(B198,5)="09735",
    IF(ISNA(VLOOKUP(Tabla13[[#This Row],[Apoyo]],'LM SAP'!A:G,1,FALSE)),
        "No Disponible",
        IF(VLOOKUP(Tabla13[[#This Row],[Apoyo]],'LM SAP'!A:AD,9,FALSE)="RR",
            "Disponible",
            "Firmas SAP"
        )
    ),
    "CONSULTAR"
)</f>
        <v>CONSULTAR</v>
      </c>
      <c r="Q198" s="460" t="str">
        <f>MID(Tabla13[[#This Row],[Código Indra]],1,13)</f>
        <v>0972825272800</v>
      </c>
      <c r="R198" s="464" t="str">
        <f>IF(ISNA(VLOOKUP(Tabla13[[#This Row],[Código Indra]],#REF!,1,FALSE)),"NO", "SI")</f>
        <v>SI</v>
      </c>
      <c r="S198" s="460" t="str">
        <f>IF(ISNA(VLOOKUP(Tabla13[[#This Row],[Código Indra]],Tabla132[[Código INDRA]:[Nombre]],1,FALSE)),"NO", "SI")</f>
        <v>NO</v>
      </c>
      <c r="T198" s="465"/>
      <c r="U198" s="464" t="s">
        <v>256</v>
      </c>
      <c r="V198" s="464" t="e">
        <f>VLOOKUP(Tabla13[[#This Row],[Apoyo]],'LM SAP'!A:I,9,FALSE)</f>
        <v>#N/A</v>
      </c>
      <c r="X198" s="466">
        <v>4</v>
      </c>
      <c r="Y198" s="464">
        <f>Tabla13[[#This Row],[ID]]</f>
        <v>189</v>
      </c>
    </row>
    <row r="199" spans="1:25" s="464" customFormat="1" ht="48" x14ac:dyDescent="0.25">
      <c r="A199" s="453">
        <v>190</v>
      </c>
      <c r="B199" s="454" t="s">
        <v>2242</v>
      </c>
      <c r="C199" s="469" t="s">
        <v>459</v>
      </c>
      <c r="D199" s="456" t="s">
        <v>190</v>
      </c>
      <c r="E199" s="457" t="s">
        <v>2243</v>
      </c>
      <c r="F199" s="458">
        <v>1</v>
      </c>
      <c r="G199" s="459"/>
      <c r="H199" s="460"/>
      <c r="I199" s="460" t="s">
        <v>251</v>
      </c>
      <c r="J199" s="460"/>
      <c r="K199" s="517" t="s">
        <v>1411</v>
      </c>
      <c r="L199" s="517">
        <v>60006607</v>
      </c>
      <c r="M199" s="518">
        <v>45771</v>
      </c>
      <c r="N199" s="461">
        <v>45776</v>
      </c>
      <c r="O199" s="519" t="s">
        <v>2244</v>
      </c>
      <c r="P199" s="520" t="str">
        <f>IF(LEFT(B199,5)="09735",
    IF(ISNA(VLOOKUP(Tabla13[[#This Row],[Apoyo]],'LM SAP'!A:G,1,FALSE)),
        "No Disponible",
        IF(VLOOKUP(Tabla13[[#This Row],[Apoyo]],'LM SAP'!A:AD,9,FALSE)="RR",
            "Disponible",
            "Firmas SAP"
        )
    ),
    "CONSULTAR"
)</f>
        <v>No Disponible</v>
      </c>
      <c r="Q199" s="460" t="str">
        <f>MID(Tabla13[[#This Row],[Código Indra]],1,13)</f>
        <v>0973525272800</v>
      </c>
      <c r="R199" s="464" t="str">
        <f>IF(ISNA(VLOOKUP(Tabla13[[#This Row],[Código Indra]],#REF!,1,FALSE)),"NO", "SI")</f>
        <v>SI</v>
      </c>
      <c r="S199" s="460" t="str">
        <f>IF(ISNA(VLOOKUP(Tabla13[[#This Row],[Código Indra]],Tabla132[[Código INDRA]:[Nombre]],1,FALSE)),"NO", "SI")</f>
        <v>NO</v>
      </c>
      <c r="T199" s="465"/>
      <c r="U199" s="510" t="s">
        <v>256</v>
      </c>
      <c r="V199" s="464" t="e">
        <f>VLOOKUP(Tabla13[[#This Row],[Apoyo]],'LM SAP'!A:I,9,FALSE)</f>
        <v>#N/A</v>
      </c>
      <c r="X199" s="466"/>
      <c r="Y199" s="464">
        <f>Tabla13[[#This Row],[ID]]</f>
        <v>190</v>
      </c>
    </row>
    <row r="200" spans="1:25" s="464" customFormat="1" ht="24" x14ac:dyDescent="0.25">
      <c r="A200" s="453">
        <v>191</v>
      </c>
      <c r="B200" s="454" t="s">
        <v>192</v>
      </c>
      <c r="C200" s="455" t="s">
        <v>193</v>
      </c>
      <c r="D200" s="456"/>
      <c r="E200" s="457" t="s">
        <v>2245</v>
      </c>
      <c r="F200" s="458">
        <v>1</v>
      </c>
      <c r="G200" s="465"/>
      <c r="H200" s="460" t="s">
        <v>2000</v>
      </c>
      <c r="I200" s="460" t="s">
        <v>669</v>
      </c>
      <c r="J200" s="460" t="s">
        <v>1318</v>
      </c>
      <c r="K200" s="460" t="s">
        <v>1411</v>
      </c>
      <c r="L200" s="460">
        <v>60005773</v>
      </c>
      <c r="M200" s="461">
        <v>45693</v>
      </c>
      <c r="N200" s="461">
        <v>45705</v>
      </c>
      <c r="O200" s="467" t="s">
        <v>2001</v>
      </c>
      <c r="P200" s="463" t="str">
        <f>IF(LEFT(B200,5)="09735",
    IF(ISNA(VLOOKUP(Tabla13[[#This Row],[Apoyo]],'LM SAP'!A:G,1,FALSE)),
        "No Disponible",
        IF(VLOOKUP(Tabla13[[#This Row],[Apoyo]],'LM SAP'!A:AD,9,FALSE)="RR",
            "Disponible",
            "Firmas SAP"
        )
    ),
    "CONSULTAR"
)</f>
        <v>No Disponible</v>
      </c>
      <c r="Q200" s="460" t="str">
        <f>MID(Tabla13[[#This Row],[Código Indra]],1,13)</f>
        <v>0973525290000</v>
      </c>
      <c r="R200" s="464" t="str">
        <f>IF(ISNA(VLOOKUP(Tabla13[[#This Row],[Código Indra]],#REF!,1,FALSE)),"NO", "SI")</f>
        <v>SI</v>
      </c>
      <c r="S200" s="460" t="str">
        <f>IF(ISNA(VLOOKUP(Tabla13[[#This Row],[Código Indra]],Tabla132[[Código INDRA]:[Nombre]],1,FALSE)),"NO", "SI")</f>
        <v>NO</v>
      </c>
      <c r="T200" s="465"/>
      <c r="U200" s="464" t="s">
        <v>227</v>
      </c>
      <c r="V200" s="464" t="e">
        <f>VLOOKUP(Tabla13[[#This Row],[Apoyo]],'LM SAP'!A:I,9,FALSE)</f>
        <v>#N/A</v>
      </c>
      <c r="X200" s="466"/>
      <c r="Y200" s="464">
        <f>Tabla13[[#This Row],[ID]]</f>
        <v>191</v>
      </c>
    </row>
    <row r="201" spans="1:25" s="464" customFormat="1" x14ac:dyDescent="0.25">
      <c r="A201" s="453">
        <v>192</v>
      </c>
      <c r="B201" s="454" t="s">
        <v>2246</v>
      </c>
      <c r="C201" s="469" t="s">
        <v>2247</v>
      </c>
      <c r="D201" s="456" t="s">
        <v>193</v>
      </c>
      <c r="E201" s="457" t="s">
        <v>700</v>
      </c>
      <c r="F201" s="458">
        <v>1</v>
      </c>
      <c r="G201" s="459"/>
      <c r="H201" s="460"/>
      <c r="I201" s="460"/>
      <c r="J201" s="460"/>
      <c r="K201" s="460" t="s">
        <v>1411</v>
      </c>
      <c r="L201" s="460">
        <v>60006151</v>
      </c>
      <c r="M201" s="461">
        <v>45715</v>
      </c>
      <c r="N201" s="521">
        <v>45743</v>
      </c>
      <c r="O201" s="470" t="s">
        <v>300</v>
      </c>
      <c r="P201" s="463" t="str">
        <f>IF(LEFT(B201,5)="09735",
    IF(ISNA(VLOOKUP(Tabla13[[#This Row],[Apoyo]],'LM SAP'!A:G,1,FALSE)),
        "No Disponible",
        IF(VLOOKUP(Tabla13[[#This Row],[Apoyo]],'LM SAP'!A:AD,9,FALSE)="RR",
            "Disponible",
            "Firmas SAP"
        )
    ),
    "CONSULTAR"
)</f>
        <v>CONSULTAR</v>
      </c>
      <c r="Q201" s="460" t="str">
        <f>MID(Tabla13[[#This Row],[Código Indra]],1,13)</f>
        <v>0972825311200</v>
      </c>
      <c r="R201" s="464" t="str">
        <f>IF(ISNA(VLOOKUP(Tabla13[[#This Row],[Código Indra]],#REF!,1,FALSE)),"NO", "SI")</f>
        <v>SI</v>
      </c>
      <c r="S201" s="460" t="str">
        <f>IF(ISNA(VLOOKUP(Tabla13[[#This Row],[Código Indra]],Tabla132[[Código INDRA]:[Nombre]],1,FALSE)),"NO", "SI")</f>
        <v>NO</v>
      </c>
      <c r="T201" s="465" t="s">
        <v>2159</v>
      </c>
      <c r="U201" s="511" t="s">
        <v>256</v>
      </c>
      <c r="V201" s="464" t="e">
        <f>VLOOKUP(Tabla13[[#This Row],[Apoyo]],'LM SAP'!A:I,9,FALSE)</f>
        <v>#N/A</v>
      </c>
      <c r="X201" s="466">
        <v>2</v>
      </c>
      <c r="Y201" s="464">
        <f>Tabla13[[#This Row],[ID]]</f>
        <v>192</v>
      </c>
    </row>
    <row r="202" spans="1:25" s="464" customFormat="1" ht="36" x14ac:dyDescent="0.25">
      <c r="A202" s="453">
        <v>193</v>
      </c>
      <c r="B202" s="454" t="s">
        <v>632</v>
      </c>
      <c r="C202" s="469" t="s">
        <v>633</v>
      </c>
      <c r="D202" s="456" t="s">
        <v>193</v>
      </c>
      <c r="E202" s="457" t="s">
        <v>2090</v>
      </c>
      <c r="F202" s="458">
        <v>6</v>
      </c>
      <c r="G202" s="465"/>
      <c r="H202" s="460"/>
      <c r="I202" s="460" t="s">
        <v>276</v>
      </c>
      <c r="J202" s="460" t="s">
        <v>474</v>
      </c>
      <c r="K202" s="460" t="s">
        <v>1411</v>
      </c>
      <c r="L202" s="460">
        <v>60004563</v>
      </c>
      <c r="M202" s="461">
        <v>45572</v>
      </c>
      <c r="N202" s="461">
        <v>45679</v>
      </c>
      <c r="O202" s="470" t="s">
        <v>2091</v>
      </c>
      <c r="P202" s="463" t="str">
        <f>IF(LEFT(B202,5)="09735",
    IF(ISNA(VLOOKUP(Tabla13[[#This Row],[Apoyo]],'LM SAP'!A:G,1,FALSE)),
        "No Disponible",
        IF(VLOOKUP(Tabla13[[#This Row],[Apoyo]],'LM SAP'!A:AD,9,FALSE)="RR",
            "Disponible",
            "Firmas SAP"
        )
    ),
    "CONSULTAR"
)</f>
        <v>CONSULTAR</v>
      </c>
      <c r="Q202" s="460" t="str">
        <f>MID(Tabla13[[#This Row],[Código Indra]],1,13)</f>
        <v>0972828220000</v>
      </c>
      <c r="R202" s="464" t="str">
        <f>IF(ISNA(VLOOKUP(Tabla13[[#This Row],[Código Indra]],#REF!,1,FALSE)),"NO", "SI")</f>
        <v>SI</v>
      </c>
      <c r="S202" s="460" t="str">
        <f>IF(ISNA(VLOOKUP(Tabla13[[#This Row],[Código Indra]],Tabla132[[Código INDRA]:[Nombre]],1,FALSE)),"NO", "SI")</f>
        <v>NO</v>
      </c>
      <c r="T202" s="465"/>
      <c r="U202" s="464" t="s">
        <v>256</v>
      </c>
      <c r="V202" s="464" t="e">
        <f>VLOOKUP(Tabla13[[#This Row],[Apoyo]],'LM SAP'!A:I,9,FALSE)</f>
        <v>#N/A</v>
      </c>
      <c r="X202" s="466">
        <v>1</v>
      </c>
      <c r="Y202" s="464">
        <f>Tabla13[[#This Row],[ID]]</f>
        <v>193</v>
      </c>
    </row>
    <row r="203" spans="1:25" s="464" customFormat="1" ht="24" x14ac:dyDescent="0.25">
      <c r="A203" s="453">
        <v>194</v>
      </c>
      <c r="B203" s="454" t="s">
        <v>2248</v>
      </c>
      <c r="C203" s="469" t="s">
        <v>2249</v>
      </c>
      <c r="D203" s="456" t="s">
        <v>193</v>
      </c>
      <c r="E203" s="457" t="s">
        <v>2250</v>
      </c>
      <c r="F203" s="458">
        <v>1</v>
      </c>
      <c r="G203" s="465"/>
      <c r="H203" s="460"/>
      <c r="I203" s="460" t="s">
        <v>2251</v>
      </c>
      <c r="J203" s="460"/>
      <c r="K203" s="460" t="s">
        <v>1411</v>
      </c>
      <c r="L203" s="460">
        <v>60007575</v>
      </c>
      <c r="M203" s="461">
        <v>45937</v>
      </c>
      <c r="N203" s="461">
        <v>45937</v>
      </c>
      <c r="O203" s="467" t="s">
        <v>2252</v>
      </c>
      <c r="P203" s="463" t="str">
        <f>IF(LEFT(B203,5)="09735",
    IF(ISNA(VLOOKUP(Tabla13[[#This Row],[Apoyo]],'LM SAP'!A:G,1,FALSE)),
        "No Disponible",
        IF(VLOOKUP(Tabla13[[#This Row],[Apoyo]],'LM SAP'!A:AD,9,FALSE)="RR",
            "Disponible",
            "Firmas SAP"
        )
    ),
    "CONSULTAR"
)</f>
        <v>No Disponible</v>
      </c>
      <c r="Q203" s="460" t="str">
        <f>MID(Tabla13[[#This Row],[Código Indra]],1,13)</f>
        <v>0973525292300</v>
      </c>
      <c r="R203" s="464" t="str">
        <f>IF(ISNA(VLOOKUP(Tabla13[[#This Row],[Código Indra]],#REF!,1,FALSE)),"NO", "SI")</f>
        <v>SI</v>
      </c>
      <c r="S203" s="460" t="str">
        <f>IF(ISNA(VLOOKUP(Tabla13[[#This Row],[Código Indra]],Tabla132[[Código INDRA]:[Nombre]],1,FALSE)),"NO", "SI")</f>
        <v>NO</v>
      </c>
      <c r="T203" s="465"/>
      <c r="U203" s="464" t="s">
        <v>256</v>
      </c>
      <c r="V203" s="464" t="e">
        <f>VLOOKUP(Tabla13[[#This Row],[Apoyo]],'LM SAP'!A:I,9,FALSE)</f>
        <v>#N/A</v>
      </c>
      <c r="X203" s="466"/>
      <c r="Y203" s="464">
        <f>Tabla13[[#This Row],[ID]]</f>
        <v>194</v>
      </c>
    </row>
    <row r="204" spans="1:25" s="464" customFormat="1" ht="60" x14ac:dyDescent="0.25">
      <c r="A204" s="453">
        <v>195</v>
      </c>
      <c r="B204" s="454" t="s">
        <v>49</v>
      </c>
      <c r="C204" s="469" t="s">
        <v>50</v>
      </c>
      <c r="D204" s="469" t="s">
        <v>50</v>
      </c>
      <c r="E204" s="457" t="s">
        <v>2253</v>
      </c>
      <c r="F204" s="458">
        <v>1</v>
      </c>
      <c r="G204" s="465"/>
      <c r="H204" s="460" t="s">
        <v>2000</v>
      </c>
      <c r="I204" s="460" t="s">
        <v>2011</v>
      </c>
      <c r="J204" s="460" t="s">
        <v>1318</v>
      </c>
      <c r="K204" s="460" t="s">
        <v>1411</v>
      </c>
      <c r="L204" s="460">
        <v>60005440</v>
      </c>
      <c r="M204" s="461">
        <v>45644</v>
      </c>
      <c r="N204" s="461">
        <v>45673</v>
      </c>
      <c r="O204" s="522" t="s">
        <v>2254</v>
      </c>
      <c r="P204" s="463" t="str">
        <f>IF(LEFT(B204,5)="09735",
    IF(ISNA(VLOOKUP(Tabla13[[#This Row],[Apoyo]],'LM SAP'!A:G,1,FALSE)),
        "No Disponible",
        IF(VLOOKUP(Tabla13[[#This Row],[Apoyo]],'LM SAP'!A:AD,9,FALSE)="RR",
            "Disponible",
            "Firmas SAP"
        )
    ),
    "CONSULTAR"
)</f>
        <v>No Disponible</v>
      </c>
      <c r="Q204" s="460" t="str">
        <f>MID(Tabla13[[#This Row],[Código Indra]],1,13)</f>
        <v>0973525300000</v>
      </c>
      <c r="R204" s="464" t="str">
        <f>IF(ISNA(VLOOKUP(Tabla13[[#This Row],[Código Indra]],#REF!,1,FALSE)),"NO", "SI")</f>
        <v>SI</v>
      </c>
      <c r="S204" s="460" t="str">
        <f>IF(ISNA(VLOOKUP(Tabla13[[#This Row],[Código Indra]],Tabla132[[Código INDRA]:[Nombre]],1,FALSE)),"NO", "SI")</f>
        <v>SI</v>
      </c>
      <c r="T204" s="465"/>
      <c r="U204" s="464" t="s">
        <v>227</v>
      </c>
      <c r="V204" s="464" t="e">
        <f>VLOOKUP(Tabla13[[#This Row],[Apoyo]],'LM SAP'!A:I,9,FALSE)</f>
        <v>#N/A</v>
      </c>
      <c r="X204" s="466"/>
      <c r="Y204" s="464">
        <f>Tabla13[[#This Row],[ID]]</f>
        <v>195</v>
      </c>
    </row>
    <row r="205" spans="1:25" s="464" customFormat="1" ht="24" x14ac:dyDescent="0.25">
      <c r="A205" s="453">
        <v>196</v>
      </c>
      <c r="B205" s="454" t="s">
        <v>462</v>
      </c>
      <c r="C205" s="469" t="s">
        <v>463</v>
      </c>
      <c r="D205" s="456" t="s">
        <v>50</v>
      </c>
      <c r="E205" s="457" t="s">
        <v>685</v>
      </c>
      <c r="F205" s="458">
        <v>1</v>
      </c>
      <c r="G205" s="465"/>
      <c r="H205" s="460"/>
      <c r="I205" s="460" t="s">
        <v>276</v>
      </c>
      <c r="J205" s="460" t="s">
        <v>1318</v>
      </c>
      <c r="K205" s="460" t="s">
        <v>1411</v>
      </c>
      <c r="L205" s="460">
        <v>60004830</v>
      </c>
      <c r="M205" s="461">
        <v>45600</v>
      </c>
      <c r="N205" s="461">
        <v>45614</v>
      </c>
      <c r="O205" s="470" t="s">
        <v>2097</v>
      </c>
      <c r="P205" s="463" t="str">
        <f>IF(LEFT(B205,5)="09735",
    IF(ISNA(VLOOKUP(Tabla13[[#This Row],[Apoyo]],'LM SAP'!A:G,1,FALSE)),
        "No Disponible",
        IF(VLOOKUP(Tabla13[[#This Row],[Apoyo]],'LM SAP'!A:AD,9,FALSE)="RR",
            "Disponible",
            "Firmas SAP"
        )
    ),
    "CONSULTAR"
)</f>
        <v>No Disponible</v>
      </c>
      <c r="Q205" s="460" t="str">
        <f>MID(Tabla13[[#This Row],[Código Indra]],1,13)</f>
        <v>0973525300100</v>
      </c>
      <c r="R205" s="464" t="str">
        <f>IF(ISNA(VLOOKUP(Tabla13[[#This Row],[Código Indra]],#REF!,1,FALSE)),"NO", "SI")</f>
        <v>SI</v>
      </c>
      <c r="S205" s="460" t="str">
        <f>IF(ISNA(VLOOKUP(Tabla13[[#This Row],[Código Indra]],Tabla132[[Código INDRA]:[Nombre]],1,FALSE)),"NO", "SI")</f>
        <v>SI</v>
      </c>
      <c r="T205" s="465" t="s">
        <v>2005</v>
      </c>
      <c r="U205" s="464" t="s">
        <v>256</v>
      </c>
      <c r="V205" s="464" t="e">
        <f>VLOOKUP(Tabla13[[#This Row],[Apoyo]],'LM SAP'!A:I,9,FALSE)</f>
        <v>#N/A</v>
      </c>
      <c r="W205" s="464" t="s">
        <v>234</v>
      </c>
      <c r="X205" s="466">
        <v>100</v>
      </c>
      <c r="Y205" s="464">
        <f>Tabla13[[#This Row],[ID]]</f>
        <v>196</v>
      </c>
    </row>
    <row r="206" spans="1:25" s="464" customFormat="1" ht="36" x14ac:dyDescent="0.25">
      <c r="A206" s="453">
        <v>197</v>
      </c>
      <c r="B206" s="454">
        <v>973525300500</v>
      </c>
      <c r="C206" s="469" t="s">
        <v>46</v>
      </c>
      <c r="D206" s="456" t="s">
        <v>50</v>
      </c>
      <c r="E206" s="457" t="s">
        <v>673</v>
      </c>
      <c r="F206" s="458">
        <v>1</v>
      </c>
      <c r="G206" s="465"/>
      <c r="H206" s="460" t="s">
        <v>2000</v>
      </c>
      <c r="I206" s="460" t="s">
        <v>2011</v>
      </c>
      <c r="J206" s="460" t="s">
        <v>474</v>
      </c>
      <c r="K206" s="460" t="s">
        <v>1411</v>
      </c>
      <c r="L206" s="460">
        <v>60005307</v>
      </c>
      <c r="M206" s="461">
        <v>45634</v>
      </c>
      <c r="N206" s="461">
        <v>45639</v>
      </c>
      <c r="O206" s="470" t="s">
        <v>2255</v>
      </c>
      <c r="P206" s="463" t="str">
        <f>IF(LEFT(B206,5)="09735",
    IF(ISNA(VLOOKUP(Tabla13[[#This Row],[Apoyo]],'LM SAP'!A:G,1,FALSE)),
        "No Disponible",
        IF(VLOOKUP(Tabla13[[#This Row],[Apoyo]],'LM SAP'!A:AD,9,FALSE)="RR",
            "Disponible",
            "Firmas SAP"
        )
    ),
    "CONSULTAR"
)</f>
        <v>CONSULTAR</v>
      </c>
      <c r="Q206" s="460" t="str">
        <f>MID(Tabla13[[#This Row],[Código Indra]],1,13)</f>
        <v>973525300500</v>
      </c>
      <c r="R206" s="464" t="str">
        <f>IF(ISNA(VLOOKUP(Tabla13[[#This Row],[Código Indra]],#REF!,1,FALSE)),"NO", "SI")</f>
        <v>SI</v>
      </c>
      <c r="S206" s="460" t="str">
        <f>IF(ISNA(VLOOKUP(Tabla13[[#This Row],[Código Indra]],Tabla132[[Código INDRA]:[Nombre]],1,FALSE)),"NO", "SI")</f>
        <v>NO</v>
      </c>
      <c r="T206" s="465" t="s">
        <v>2005</v>
      </c>
      <c r="U206" s="464" t="s">
        <v>256</v>
      </c>
      <c r="V206" s="464" t="e">
        <f>VLOOKUP(Tabla13[[#This Row],[Apoyo]],'LM SAP'!A:I,9,FALSE)</f>
        <v>#N/A</v>
      </c>
      <c r="W206" s="464" t="s">
        <v>234</v>
      </c>
      <c r="X206" s="466"/>
      <c r="Y206" s="464">
        <f>Tabla13[[#This Row],[ID]]</f>
        <v>197</v>
      </c>
    </row>
    <row r="207" spans="1:25" s="464" customFormat="1" ht="36" x14ac:dyDescent="0.25">
      <c r="A207" s="453">
        <v>198</v>
      </c>
      <c r="B207" s="454" t="s">
        <v>632</v>
      </c>
      <c r="C207" s="469" t="s">
        <v>633</v>
      </c>
      <c r="D207" s="456" t="s">
        <v>50</v>
      </c>
      <c r="E207" s="457" t="s">
        <v>2090</v>
      </c>
      <c r="F207" s="458">
        <v>6</v>
      </c>
      <c r="G207" s="465"/>
      <c r="H207" s="460"/>
      <c r="I207" s="460" t="s">
        <v>276</v>
      </c>
      <c r="J207" s="460" t="s">
        <v>474</v>
      </c>
      <c r="K207" s="460" t="s">
        <v>1411</v>
      </c>
      <c r="L207" s="460">
        <v>60004563</v>
      </c>
      <c r="M207" s="461">
        <v>45572</v>
      </c>
      <c r="N207" s="461">
        <v>45679</v>
      </c>
      <c r="O207" s="470" t="s">
        <v>2091</v>
      </c>
      <c r="P207" s="463" t="str">
        <f>IF(LEFT(B207,5)="09735",
    IF(ISNA(VLOOKUP(Tabla13[[#This Row],[Apoyo]],'LM SAP'!A:G,1,FALSE)),
        "No Disponible",
        IF(VLOOKUP(Tabla13[[#This Row],[Apoyo]],'LM SAP'!A:AD,9,FALSE)="RR",
            "Disponible",
            "Firmas SAP"
        )
    ),
    "CONSULTAR"
)</f>
        <v>CONSULTAR</v>
      </c>
      <c r="Q207" s="460" t="str">
        <f>MID(Tabla13[[#This Row],[Código Indra]],1,13)</f>
        <v>0972828220000</v>
      </c>
      <c r="R207" s="464" t="str">
        <f>IF(ISNA(VLOOKUP(Tabla13[[#This Row],[Código Indra]],#REF!,1,FALSE)),"NO", "SI")</f>
        <v>SI</v>
      </c>
      <c r="S207" s="460" t="str">
        <f>IF(ISNA(VLOOKUP(Tabla13[[#This Row],[Código Indra]],Tabla132[[Código INDRA]:[Nombre]],1,FALSE)),"NO", "SI")</f>
        <v>NO</v>
      </c>
      <c r="T207" s="465" t="s">
        <v>2005</v>
      </c>
      <c r="U207" s="464" t="s">
        <v>256</v>
      </c>
      <c r="V207" s="464" t="e">
        <f>VLOOKUP(Tabla13[[#This Row],[Apoyo]],'LM SAP'!A:I,9,FALSE)</f>
        <v>#N/A</v>
      </c>
      <c r="X207" s="466">
        <v>1</v>
      </c>
      <c r="Y207" s="464">
        <f>Tabla13[[#This Row],[ID]]</f>
        <v>198</v>
      </c>
    </row>
    <row r="208" spans="1:25" s="464" customFormat="1" ht="36" x14ac:dyDescent="0.25">
      <c r="A208" s="453">
        <v>199</v>
      </c>
      <c r="B208" s="454" t="s">
        <v>632</v>
      </c>
      <c r="C208" s="469" t="s">
        <v>633</v>
      </c>
      <c r="D208" s="456" t="s">
        <v>50</v>
      </c>
      <c r="E208" s="457" t="s">
        <v>2090</v>
      </c>
      <c r="F208" s="458">
        <v>6</v>
      </c>
      <c r="G208" s="465"/>
      <c r="H208" s="460"/>
      <c r="I208" s="460" t="s">
        <v>276</v>
      </c>
      <c r="J208" s="460" t="s">
        <v>474</v>
      </c>
      <c r="K208" s="460" t="s">
        <v>1411</v>
      </c>
      <c r="L208" s="460">
        <v>60004563</v>
      </c>
      <c r="M208" s="461">
        <v>45572</v>
      </c>
      <c r="N208" s="461">
        <v>45679</v>
      </c>
      <c r="O208" s="470" t="s">
        <v>2091</v>
      </c>
      <c r="P208" s="463" t="str">
        <f>IF(LEFT(B208,5)="09735",
    IF(ISNA(VLOOKUP(Tabla13[[#This Row],[Apoyo]],'LM SAP'!A:G,1,FALSE)),
        "No Disponible",
        IF(VLOOKUP(Tabla13[[#This Row],[Apoyo]],'LM SAP'!A:AD,9,FALSE)="RR",
            "Disponible",
            "Firmas SAP"
        )
    ),
    "CONSULTAR"
)</f>
        <v>CONSULTAR</v>
      </c>
      <c r="Q208" s="460" t="str">
        <f>MID(Tabla13[[#This Row],[Código Indra]],1,13)</f>
        <v>0972828220000</v>
      </c>
      <c r="R208" s="464" t="str">
        <f>IF(ISNA(VLOOKUP(Tabla13[[#This Row],[Código Indra]],#REF!,1,FALSE)),"NO", "SI")</f>
        <v>SI</v>
      </c>
      <c r="S208" s="460" t="str">
        <f>IF(ISNA(VLOOKUP(Tabla13[[#This Row],[Código Indra]],Tabla132[[Código INDRA]:[Nombre]],1,FALSE)),"NO", "SI")</f>
        <v>NO</v>
      </c>
      <c r="T208" s="465" t="s">
        <v>2005</v>
      </c>
      <c r="U208" s="464" t="s">
        <v>256</v>
      </c>
      <c r="V208" s="464" t="e">
        <f>VLOOKUP(Tabla13[[#This Row],[Apoyo]],'LM SAP'!A:I,9,FALSE)</f>
        <v>#N/A</v>
      </c>
      <c r="X208" s="466">
        <v>1</v>
      </c>
      <c r="Y208" s="464">
        <f>Tabla13[[#This Row],[ID]]</f>
        <v>199</v>
      </c>
    </row>
    <row r="209" spans="1:25" s="464" customFormat="1" ht="48" x14ac:dyDescent="0.25">
      <c r="A209" s="453">
        <v>200</v>
      </c>
      <c r="B209" s="454" t="s">
        <v>1840</v>
      </c>
      <c r="C209" s="469" t="s">
        <v>1403</v>
      </c>
      <c r="D209" s="456" t="s">
        <v>50</v>
      </c>
      <c r="E209" s="457" t="s">
        <v>2256</v>
      </c>
      <c r="F209" s="458">
        <v>1</v>
      </c>
      <c r="G209" s="465"/>
      <c r="H209" s="460"/>
      <c r="I209" s="460" t="s">
        <v>2251</v>
      </c>
      <c r="J209" s="460" t="s">
        <v>1318</v>
      </c>
      <c r="K209" s="460" t="s">
        <v>1411</v>
      </c>
      <c r="L209" s="460">
        <v>60005838</v>
      </c>
      <c r="M209" s="461">
        <v>45699</v>
      </c>
      <c r="N209" s="461">
        <v>45705</v>
      </c>
      <c r="O209" s="523" t="s">
        <v>2257</v>
      </c>
      <c r="P209" s="463" t="str">
        <f>IF(LEFT(B209,5)="09735",
    IF(ISNA(VLOOKUP(Tabla13[[#This Row],[Apoyo]],'LM SAP'!A:G,1,FALSE)),
        "No Disponible",
        IF(VLOOKUP(Tabla13[[#This Row],[Apoyo]],'LM SAP'!A:AD,9,FALSE)="RR",
            "Disponible",
            "Firmas SAP"
        )
    ),
    "CONSULTAR"
)</f>
        <v>Disponible</v>
      </c>
      <c r="Q209" s="460" t="str">
        <f>MID(Tabla13[[#This Row],[Código Indra]],1,13)</f>
        <v>0973523305100</v>
      </c>
      <c r="R209" s="524" t="str">
        <f>IF(ISNA(VLOOKUP(Tabla13[[#This Row],[Código Indra]],#REF!,1,FALSE)),"NO", "SI")</f>
        <v>SI</v>
      </c>
      <c r="S209" s="460" t="str">
        <f>IF(ISNA(VLOOKUP(Tabla13[[#This Row],[Código Indra]],Tabla132[[Código INDRA]:[Nombre]],1,FALSE)),"NO", "SI")</f>
        <v>SI</v>
      </c>
      <c r="T209" s="465" t="s">
        <v>2159</v>
      </c>
      <c r="U209" s="524" t="s">
        <v>256</v>
      </c>
      <c r="V209" s="524" t="str">
        <f>VLOOKUP(Tabla13[[#This Row],[Apoyo]],'LM SAP'!A:I,9,FALSE)</f>
        <v>RR</v>
      </c>
      <c r="X209" s="466">
        <v>32</v>
      </c>
      <c r="Y209" s="464">
        <f>Tabla13[[#This Row],[ID]]</f>
        <v>200</v>
      </c>
    </row>
    <row r="210" spans="1:25" s="464" customFormat="1" ht="72" x14ac:dyDescent="0.25">
      <c r="A210" s="453">
        <v>201</v>
      </c>
      <c r="B210" s="471" t="s">
        <v>532</v>
      </c>
      <c r="C210" s="455" t="s">
        <v>77</v>
      </c>
      <c r="D210" s="456" t="s">
        <v>50</v>
      </c>
      <c r="E210" s="457" t="s">
        <v>2258</v>
      </c>
      <c r="F210" s="458">
        <v>1</v>
      </c>
      <c r="G210" s="465"/>
      <c r="H210" s="460"/>
      <c r="I210" s="460" t="s">
        <v>276</v>
      </c>
      <c r="J210" s="460"/>
      <c r="K210" s="460" t="s">
        <v>1411</v>
      </c>
      <c r="L210" s="460">
        <v>60005257</v>
      </c>
      <c r="M210" s="461">
        <v>45630</v>
      </c>
      <c r="N210" s="461">
        <v>45638</v>
      </c>
      <c r="O210" s="525" t="s">
        <v>2259</v>
      </c>
      <c r="P210" s="463" t="str">
        <f>IF(LEFT(B210,5)="09735",
    IF(ISNA(VLOOKUP(Tabla13[[#This Row],[Apoyo]],'LM SAP'!A:G,1,FALSE)),
        "No Disponible",
        IF(VLOOKUP(Tabla13[[#This Row],[Apoyo]],'LM SAP'!A:AD,9,FALSE)="RR",
            "Disponible",
            "Firmas SAP"
        )
    ),
    "CONSULTAR"
)</f>
        <v>No Disponible</v>
      </c>
      <c r="Q210" s="460" t="str">
        <f>MID(Tabla13[[#This Row],[Código Indra]],1,13)</f>
        <v>0973524300100</v>
      </c>
      <c r="R210" s="464" t="str">
        <f>IF(ISNA(VLOOKUP(Tabla13[[#This Row],[Código Indra]],#REF!,1,FALSE)),"NO", "SI")</f>
        <v>SI</v>
      </c>
      <c r="S210" s="460" t="str">
        <f>IF(ISNA(VLOOKUP(Tabla13[[#This Row],[Código Indra]],Tabla132[[Código INDRA]:[Nombre]],1,FALSE)),"NO", "SI")</f>
        <v>SI</v>
      </c>
      <c r="T210" s="465"/>
      <c r="U210" s="464" t="s">
        <v>227</v>
      </c>
      <c r="V210" s="464" t="e">
        <f>VLOOKUP(Tabla13[[#This Row],[Apoyo]],'LM SAP'!A:I,9,FALSE)</f>
        <v>#N/A</v>
      </c>
      <c r="W210" s="464" t="s">
        <v>234</v>
      </c>
      <c r="X210" s="466">
        <v>0</v>
      </c>
      <c r="Y210" s="464">
        <f>Tabla13[[#This Row],[ID]]</f>
        <v>201</v>
      </c>
    </row>
    <row r="211" spans="1:25" s="464" customFormat="1" ht="72" x14ac:dyDescent="0.25">
      <c r="A211" s="453">
        <v>202</v>
      </c>
      <c r="B211" s="454" t="s">
        <v>536</v>
      </c>
      <c r="C211" s="469" t="s">
        <v>2260</v>
      </c>
      <c r="D211" s="456" t="s">
        <v>478</v>
      </c>
      <c r="E211" s="457" t="s">
        <v>2261</v>
      </c>
      <c r="F211" s="458">
        <v>1</v>
      </c>
      <c r="G211" s="465"/>
      <c r="H211" s="460"/>
      <c r="I211" s="460" t="s">
        <v>276</v>
      </c>
      <c r="J211" s="460"/>
      <c r="K211" s="460" t="s">
        <v>1411</v>
      </c>
      <c r="L211" s="460">
        <v>60004476</v>
      </c>
      <c r="M211" s="461">
        <v>45568</v>
      </c>
      <c r="N211" s="461">
        <v>45572</v>
      </c>
      <c r="O211" s="525" t="s">
        <v>2262</v>
      </c>
      <c r="P211" s="463" t="str">
        <f>IF(LEFT(B211,5)="09735",
    IF(ISNA(VLOOKUP(Tabla13[[#This Row],[Apoyo]],'LM SAP'!A:G,1,FALSE)),
        "No Disponible",
        IF(VLOOKUP(Tabla13[[#This Row],[Apoyo]],'LM SAP'!A:AD,9,FALSE)="RR",
            "Disponible",
            "Firmas SAP"
        )
    ),
    "CONSULTAR"
)</f>
        <v>No Disponible</v>
      </c>
      <c r="Q211" s="460" t="str">
        <f>MID(Tabla13[[#This Row],[Código Indra]],1,13)</f>
        <v>0973545003600</v>
      </c>
      <c r="R211" s="511" t="str">
        <f>IF(ISNA(VLOOKUP(Tabla13[[#This Row],[Código Indra]],#REF!,1,FALSE)),"NO", "SI")</f>
        <v>SI</v>
      </c>
      <c r="S211" s="460" t="str">
        <f>IF(ISNA(VLOOKUP(Tabla13[[#This Row],[Código Indra]],Tabla132[[Código INDRA]:[Nombre]],1,FALSE)),"NO", "SI")</f>
        <v>SI</v>
      </c>
      <c r="T211" s="465" t="s">
        <v>2005</v>
      </c>
      <c r="U211" s="511" t="s">
        <v>256</v>
      </c>
      <c r="V211" s="511" t="e">
        <f>VLOOKUP(Tabla13[[#This Row],[Apoyo]],'LM SAP'!A:I,9,FALSE)</f>
        <v>#N/A</v>
      </c>
      <c r="W211" s="464" t="s">
        <v>234</v>
      </c>
      <c r="X211" s="466">
        <v>20</v>
      </c>
      <c r="Y211" s="464">
        <f>Tabla13[[#This Row],[ID]]</f>
        <v>202</v>
      </c>
    </row>
    <row r="212" spans="1:25" s="464" customFormat="1" ht="24" x14ac:dyDescent="0.25">
      <c r="A212" s="453">
        <v>203</v>
      </c>
      <c r="B212" s="454" t="s">
        <v>539</v>
      </c>
      <c r="C212" s="469" t="s">
        <v>2263</v>
      </c>
      <c r="D212" s="456" t="s">
        <v>478</v>
      </c>
      <c r="E212" s="457" t="s">
        <v>2264</v>
      </c>
      <c r="F212" s="458">
        <v>1</v>
      </c>
      <c r="G212" s="465"/>
      <c r="H212" s="460"/>
      <c r="I212" s="460" t="s">
        <v>276</v>
      </c>
      <c r="J212" s="460"/>
      <c r="K212" s="460" t="s">
        <v>1411</v>
      </c>
      <c r="L212" s="460">
        <v>60004477</v>
      </c>
      <c r="M212" s="461">
        <v>45536</v>
      </c>
      <c r="N212" s="461">
        <v>45572</v>
      </c>
      <c r="O212" s="470" t="s">
        <v>281</v>
      </c>
      <c r="P212" s="463" t="str">
        <f>IF(LEFT(B212,5)="09735",
    IF(ISNA(VLOOKUP(Tabla13[[#This Row],[Apoyo]],'LM SAP'!A:G,1,FALSE)),
        "No Disponible",
        IF(VLOOKUP(Tabla13[[#This Row],[Apoyo]],'LM SAP'!A:AD,9,FALSE)="RR",
            "Disponible",
            "Firmas SAP"
        )
    ),
    "CONSULTAR"
)</f>
        <v>No Disponible</v>
      </c>
      <c r="Q212" s="460" t="str">
        <f>MID(Tabla13[[#This Row],[Código Indra]],1,13)</f>
        <v>0973545003700</v>
      </c>
      <c r="R212" s="464" t="str">
        <f>IF(ISNA(VLOOKUP(Tabla13[[#This Row],[Código Indra]],#REF!,1,FALSE)),"NO", "SI")</f>
        <v>SI</v>
      </c>
      <c r="S212" s="460" t="str">
        <f>IF(ISNA(VLOOKUP(Tabla13[[#This Row],[Código Indra]],Tabla132[[Código INDRA]:[Nombre]],1,FALSE)),"NO", "SI")</f>
        <v>SI</v>
      </c>
      <c r="T212" s="465" t="s">
        <v>2005</v>
      </c>
      <c r="U212" s="464" t="s">
        <v>256</v>
      </c>
      <c r="V212" s="464" t="e">
        <f>VLOOKUP(Tabla13[[#This Row],[Apoyo]],'LM SAP'!A:I,9,FALSE)</f>
        <v>#N/A</v>
      </c>
      <c r="W212" s="464" t="s">
        <v>234</v>
      </c>
      <c r="X212" s="466">
        <v>20</v>
      </c>
      <c r="Y212" s="464">
        <f>Tabla13[[#This Row],[ID]]</f>
        <v>203</v>
      </c>
    </row>
    <row r="213" spans="1:25" s="464" customFormat="1" ht="24" x14ac:dyDescent="0.25">
      <c r="A213" s="453">
        <v>204</v>
      </c>
      <c r="B213" s="454" t="s">
        <v>541</v>
      </c>
      <c r="C213" s="469" t="s">
        <v>2265</v>
      </c>
      <c r="D213" s="456" t="s">
        <v>478</v>
      </c>
      <c r="E213" s="457" t="s">
        <v>2266</v>
      </c>
      <c r="F213" s="458">
        <v>1</v>
      </c>
      <c r="G213" s="465"/>
      <c r="H213" s="460"/>
      <c r="I213" s="460" t="s">
        <v>276</v>
      </c>
      <c r="J213" s="460"/>
      <c r="K213" s="460" t="s">
        <v>1411</v>
      </c>
      <c r="L213" s="460">
        <v>60004478</v>
      </c>
      <c r="M213" s="461">
        <v>45568</v>
      </c>
      <c r="N213" s="461">
        <v>45572</v>
      </c>
      <c r="O213" s="470" t="s">
        <v>281</v>
      </c>
      <c r="P213" s="463" t="str">
        <f>IF(LEFT(B213,5)="09735",
    IF(ISNA(VLOOKUP(Tabla13[[#This Row],[Apoyo]],'LM SAP'!A:G,1,FALSE)),
        "No Disponible",
        IF(VLOOKUP(Tabla13[[#This Row],[Apoyo]],'LM SAP'!A:AD,9,FALSE)="RR",
            "Disponible",
            "Firmas SAP"
        )
    ),
    "CONSULTAR"
)</f>
        <v>No Disponible</v>
      </c>
      <c r="Q213" s="460" t="str">
        <f>MID(Tabla13[[#This Row],[Código Indra]],1,13)</f>
        <v>0973545003800</v>
      </c>
      <c r="R213" s="464" t="str">
        <f>IF(ISNA(VLOOKUP(Tabla13[[#This Row],[Código Indra]],#REF!,1,FALSE)),"NO", "SI")</f>
        <v>SI</v>
      </c>
      <c r="S213" s="460" t="str">
        <f>IF(ISNA(VLOOKUP(Tabla13[[#This Row],[Código Indra]],Tabla132[[Código INDRA]:[Nombre]],1,FALSE)),"NO", "SI")</f>
        <v>NO</v>
      </c>
      <c r="T213" s="465" t="s">
        <v>2005</v>
      </c>
      <c r="U213" s="464" t="s">
        <v>256</v>
      </c>
      <c r="V213" s="464" t="e">
        <f>VLOOKUP(Tabla13[[#This Row],[Apoyo]],'LM SAP'!A:I,9,FALSE)</f>
        <v>#N/A</v>
      </c>
      <c r="W213" s="464" t="s">
        <v>234</v>
      </c>
      <c r="X213" s="466">
        <v>20</v>
      </c>
      <c r="Y213" s="464">
        <f>Tabla13[[#This Row],[ID]]</f>
        <v>204</v>
      </c>
    </row>
    <row r="214" spans="1:25" s="464" customFormat="1" ht="24" x14ac:dyDescent="0.25">
      <c r="A214" s="453">
        <v>205</v>
      </c>
      <c r="B214" s="454" t="s">
        <v>543</v>
      </c>
      <c r="C214" s="469" t="s">
        <v>2267</v>
      </c>
      <c r="D214" s="456" t="s">
        <v>478</v>
      </c>
      <c r="E214" s="457" t="s">
        <v>2268</v>
      </c>
      <c r="F214" s="458">
        <v>1</v>
      </c>
      <c r="G214" s="465"/>
      <c r="H214" s="460"/>
      <c r="I214" s="460" t="s">
        <v>276</v>
      </c>
      <c r="J214" s="460"/>
      <c r="K214" s="460" t="s">
        <v>1411</v>
      </c>
      <c r="L214" s="460">
        <v>60004479</v>
      </c>
      <c r="M214" s="461">
        <v>45568</v>
      </c>
      <c r="N214" s="461">
        <v>45572</v>
      </c>
      <c r="O214" s="470" t="s">
        <v>545</v>
      </c>
      <c r="P214" s="463" t="str">
        <f>IF(LEFT(B214,5)="09735",
    IF(ISNA(VLOOKUP(Tabla13[[#This Row],[Apoyo]],'LM SAP'!A:G,1,FALSE)),
        "No Disponible",
        IF(VLOOKUP(Tabla13[[#This Row],[Apoyo]],'LM SAP'!A:AD,9,FALSE)="RR",
            "Disponible",
            "Firmas SAP"
        )
    ),
    "CONSULTAR"
)</f>
        <v>No Disponible</v>
      </c>
      <c r="Q214" s="460" t="str">
        <f>MID(Tabla13[[#This Row],[Código Indra]],1,13)</f>
        <v>0973545003900</v>
      </c>
      <c r="R214" s="464" t="str">
        <f>IF(ISNA(VLOOKUP(Tabla13[[#This Row],[Código Indra]],#REF!,1,FALSE)),"NO", "SI")</f>
        <v>SI</v>
      </c>
      <c r="S214" s="460" t="str">
        <f>IF(ISNA(VLOOKUP(Tabla13[[#This Row],[Código Indra]],Tabla132[[Código INDRA]:[Nombre]],1,FALSE)),"NO", "SI")</f>
        <v>SI</v>
      </c>
      <c r="T214" s="465" t="s">
        <v>2005</v>
      </c>
      <c r="U214" s="464" t="s">
        <v>256</v>
      </c>
      <c r="V214" s="464" t="e">
        <f>VLOOKUP(Tabla13[[#This Row],[Apoyo]],'LM SAP'!A:I,9,FALSE)</f>
        <v>#N/A</v>
      </c>
      <c r="W214" s="464" t="s">
        <v>234</v>
      </c>
      <c r="X214" s="466">
        <v>20</v>
      </c>
      <c r="Y214" s="464">
        <f>Tabla13[[#This Row],[ID]]</f>
        <v>205</v>
      </c>
    </row>
    <row r="215" spans="1:25" s="464" customFormat="1" ht="24" x14ac:dyDescent="0.25">
      <c r="A215" s="453">
        <v>206</v>
      </c>
      <c r="B215" s="454" t="s">
        <v>546</v>
      </c>
      <c r="C215" s="469" t="s">
        <v>2269</v>
      </c>
      <c r="D215" s="456" t="s">
        <v>478</v>
      </c>
      <c r="E215" s="457" t="s">
        <v>2270</v>
      </c>
      <c r="F215" s="458">
        <v>1</v>
      </c>
      <c r="G215" s="465"/>
      <c r="H215" s="460"/>
      <c r="I215" s="460" t="s">
        <v>276</v>
      </c>
      <c r="J215" s="460"/>
      <c r="K215" s="460" t="s">
        <v>1411</v>
      </c>
      <c r="L215" s="460">
        <v>60004389</v>
      </c>
      <c r="M215" s="461">
        <v>45551</v>
      </c>
      <c r="N215" s="461">
        <v>45567</v>
      </c>
      <c r="O215" s="470" t="s">
        <v>549</v>
      </c>
      <c r="P215" s="463" t="str">
        <f>IF(LEFT(B215,5)="09735",
    IF(ISNA(VLOOKUP(Tabla13[[#This Row],[Apoyo]],'LM SAP'!A:G,1,FALSE)),
        "No Disponible",
        IF(VLOOKUP(Tabla13[[#This Row],[Apoyo]],'LM SAP'!A:AD,9,FALSE)="RR",
            "Disponible",
            "Firmas SAP"
        )
    ),
    "CONSULTAR"
)</f>
        <v>No Disponible</v>
      </c>
      <c r="Q215" s="460" t="str">
        <f>MID(Tabla13[[#This Row],[Código Indra]],1,13)</f>
        <v>0973545004000</v>
      </c>
      <c r="R215" s="464" t="str">
        <f>IF(ISNA(VLOOKUP(Tabla13[[#This Row],[Código Indra]],#REF!,1,FALSE)),"NO", "SI")</f>
        <v>SI</v>
      </c>
      <c r="S215" s="460" t="str">
        <f>IF(ISNA(VLOOKUP(Tabla13[[#This Row],[Código Indra]],Tabla132[[Código INDRA]:[Nombre]],1,FALSE)),"NO", "SI")</f>
        <v>SI</v>
      </c>
      <c r="T215" s="465" t="s">
        <v>2005</v>
      </c>
      <c r="U215" s="464" t="s">
        <v>256</v>
      </c>
      <c r="V215" s="464" t="e">
        <f>VLOOKUP(Tabla13[[#This Row],[Apoyo]],'LM SAP'!A:I,9,FALSE)</f>
        <v>#N/A</v>
      </c>
      <c r="W215" s="464" t="s">
        <v>234</v>
      </c>
      <c r="X215" s="466">
        <v>20</v>
      </c>
      <c r="Y215" s="464">
        <f>Tabla13[[#This Row],[ID]]</f>
        <v>206</v>
      </c>
    </row>
    <row r="216" spans="1:25" s="464" customFormat="1" ht="48" x14ac:dyDescent="0.25">
      <c r="A216" s="453">
        <v>207</v>
      </c>
      <c r="B216" s="454" t="s">
        <v>550</v>
      </c>
      <c r="C216" s="469" t="s">
        <v>2271</v>
      </c>
      <c r="D216" s="456" t="s">
        <v>478</v>
      </c>
      <c r="E216" s="457" t="s">
        <v>2272</v>
      </c>
      <c r="F216" s="458">
        <v>1</v>
      </c>
      <c r="G216" s="465"/>
      <c r="H216" s="460"/>
      <c r="I216" s="460" t="s">
        <v>276</v>
      </c>
      <c r="J216" s="460"/>
      <c r="K216" s="460" t="s">
        <v>1411</v>
      </c>
      <c r="L216" s="460">
        <v>60004500</v>
      </c>
      <c r="M216" s="461">
        <v>45566</v>
      </c>
      <c r="N216" s="461">
        <v>45573</v>
      </c>
      <c r="O216" s="525" t="s">
        <v>2273</v>
      </c>
      <c r="P216" s="463" t="str">
        <f>IF(LEFT(B216,5)="09735",
    IF(ISNA(VLOOKUP(Tabla13[[#This Row],[Apoyo]],'LM SAP'!A:G,1,FALSE)),
        "No Disponible",
        IF(VLOOKUP(Tabla13[[#This Row],[Apoyo]],'LM SAP'!A:AD,9,FALSE)="RR",
            "Disponible",
            "Firmas SAP"
        )
    ),
    "CONSULTAR"
)</f>
        <v>No Disponible</v>
      </c>
      <c r="Q216" s="460" t="str">
        <f>MID(Tabla13[[#This Row],[Código Indra]],1,13)</f>
        <v>0973545004100</v>
      </c>
      <c r="R216" s="464" t="str">
        <f>IF(ISNA(VLOOKUP(Tabla13[[#This Row],[Código Indra]],#REF!,1,FALSE)),"NO", "SI")</f>
        <v>SI</v>
      </c>
      <c r="S216" s="460" t="str">
        <f>IF(ISNA(VLOOKUP(Tabla13[[#This Row],[Código Indra]],Tabla132[[Código INDRA]:[Nombre]],1,FALSE)),"NO", "SI")</f>
        <v>SI</v>
      </c>
      <c r="T216" s="465" t="s">
        <v>2005</v>
      </c>
      <c r="U216" s="464" t="s">
        <v>256</v>
      </c>
      <c r="V216" s="464" t="e">
        <f>VLOOKUP(Tabla13[[#This Row],[Apoyo]],'LM SAP'!A:I,9,FALSE)</f>
        <v>#N/A</v>
      </c>
      <c r="W216" s="464" t="s">
        <v>234</v>
      </c>
      <c r="X216" s="466">
        <v>20</v>
      </c>
      <c r="Y216" s="464">
        <f>Tabla13[[#This Row],[ID]]</f>
        <v>207</v>
      </c>
    </row>
    <row r="217" spans="1:25" s="464" customFormat="1" ht="24" x14ac:dyDescent="0.25">
      <c r="A217" s="453">
        <v>208</v>
      </c>
      <c r="B217" s="454" t="s">
        <v>716</v>
      </c>
      <c r="C217" s="469" t="s">
        <v>2274</v>
      </c>
      <c r="D217" s="456" t="s">
        <v>478</v>
      </c>
      <c r="E217" s="457" t="s">
        <v>2275</v>
      </c>
      <c r="F217" s="458">
        <v>1</v>
      </c>
      <c r="G217" s="465"/>
      <c r="H217" s="460"/>
      <c r="I217" s="460" t="s">
        <v>276</v>
      </c>
      <c r="J217" s="460"/>
      <c r="K217" s="460" t="s">
        <v>1411</v>
      </c>
      <c r="L217" s="460">
        <v>60004727</v>
      </c>
      <c r="M217" s="461">
        <v>45595</v>
      </c>
      <c r="N217" s="461">
        <v>45602</v>
      </c>
      <c r="O217" s="470" t="s">
        <v>300</v>
      </c>
      <c r="P217" s="463" t="str">
        <f>IF(LEFT(B217,5)="09735",
    IF(ISNA(VLOOKUP(Tabla13[[#This Row],[Apoyo]],'LM SAP'!A:G,1,FALSE)),
        "No Disponible",
        IF(VLOOKUP(Tabla13[[#This Row],[Apoyo]],'LM SAP'!A:AD,9,FALSE)="RR",
            "Disponible",
            "Firmas SAP"
        )
    ),
    "CONSULTAR"
)</f>
        <v>No Disponible</v>
      </c>
      <c r="Q217" s="460" t="str">
        <f>MID(Tabla13[[#This Row],[Código Indra]],1,13)</f>
        <v>0973545004200</v>
      </c>
      <c r="R217" s="464" t="str">
        <f>IF(ISNA(VLOOKUP(Tabla13[[#This Row],[Código Indra]],#REF!,1,FALSE)),"NO", "SI")</f>
        <v>SI</v>
      </c>
      <c r="S217" s="460" t="str">
        <f>IF(ISNA(VLOOKUP(Tabla13[[#This Row],[Código Indra]],Tabla132[[Código INDRA]:[Nombre]],1,FALSE)),"NO", "SI")</f>
        <v>NO</v>
      </c>
      <c r="T217" s="465" t="s">
        <v>2005</v>
      </c>
      <c r="U217" s="464" t="s">
        <v>256</v>
      </c>
      <c r="V217" s="464" t="e">
        <f>VLOOKUP(Tabla13[[#This Row],[Apoyo]],'LM SAP'!A:I,9,FALSE)</f>
        <v>#N/A</v>
      </c>
      <c r="W217" s="464" t="s">
        <v>234</v>
      </c>
      <c r="X217" s="466">
        <v>20</v>
      </c>
      <c r="Y217" s="464">
        <f>Tabla13[[#This Row],[ID]]</f>
        <v>208</v>
      </c>
    </row>
    <row r="218" spans="1:25" s="464" customFormat="1" ht="24" x14ac:dyDescent="0.25">
      <c r="A218" s="453">
        <v>209</v>
      </c>
      <c r="B218" s="454" t="s">
        <v>554</v>
      </c>
      <c r="C218" s="469" t="s">
        <v>2276</v>
      </c>
      <c r="D218" s="456" t="s">
        <v>478</v>
      </c>
      <c r="E218" s="457" t="s">
        <v>2277</v>
      </c>
      <c r="F218" s="458">
        <v>1</v>
      </c>
      <c r="G218" s="465"/>
      <c r="H218" s="460"/>
      <c r="I218" s="460" t="s">
        <v>276</v>
      </c>
      <c r="J218" s="460"/>
      <c r="K218" s="460" t="s">
        <v>1411</v>
      </c>
      <c r="L218" s="460">
        <v>60004501</v>
      </c>
      <c r="M218" s="461">
        <v>45566</v>
      </c>
      <c r="N218" s="461">
        <v>45573</v>
      </c>
      <c r="O218" s="470" t="s">
        <v>556</v>
      </c>
      <c r="P218" s="463" t="str">
        <f>IF(LEFT(B218,5)="09735",
    IF(ISNA(VLOOKUP(Tabla13[[#This Row],[Apoyo]],'LM SAP'!A:G,1,FALSE)),
        "No Disponible",
        IF(VLOOKUP(Tabla13[[#This Row],[Apoyo]],'LM SAP'!A:AD,9,FALSE)="RR",
            "Disponible",
            "Firmas SAP"
        )
    ),
    "CONSULTAR"
)</f>
        <v>No Disponible</v>
      </c>
      <c r="Q218" s="460" t="str">
        <f>MID(Tabla13[[#This Row],[Código Indra]],1,13)</f>
        <v>0973545004400</v>
      </c>
      <c r="R218" s="464" t="str">
        <f>IF(ISNA(VLOOKUP(Tabla13[[#This Row],[Código Indra]],#REF!,1,FALSE)),"NO", "SI")</f>
        <v>SI</v>
      </c>
      <c r="S218" s="460" t="str">
        <f>IF(ISNA(VLOOKUP(Tabla13[[#This Row],[Código Indra]],Tabla132[[Código INDRA]:[Nombre]],1,FALSE)),"NO", "SI")</f>
        <v>SI</v>
      </c>
      <c r="T218" s="465" t="s">
        <v>2005</v>
      </c>
      <c r="U218" s="464" t="s">
        <v>256</v>
      </c>
      <c r="V218" s="464" t="e">
        <f>VLOOKUP(Tabla13[[#This Row],[Apoyo]],'LM SAP'!A:I,9,FALSE)</f>
        <v>#N/A</v>
      </c>
      <c r="W218" s="464" t="s">
        <v>234</v>
      </c>
      <c r="X218" s="466">
        <v>20</v>
      </c>
      <c r="Y218" s="464">
        <f>Tabla13[[#This Row],[ID]]</f>
        <v>209</v>
      </c>
    </row>
    <row r="219" spans="1:25" s="464" customFormat="1" ht="72" x14ac:dyDescent="0.25">
      <c r="A219" s="453">
        <v>210</v>
      </c>
      <c r="B219" s="471" t="s">
        <v>79</v>
      </c>
      <c r="C219" s="455" t="s">
        <v>80</v>
      </c>
      <c r="D219" s="456"/>
      <c r="E219" s="457" t="s">
        <v>700</v>
      </c>
      <c r="F219" s="458">
        <v>1</v>
      </c>
      <c r="G219" s="465"/>
      <c r="H219" s="460"/>
      <c r="I219" s="460"/>
      <c r="J219" s="460"/>
      <c r="K219" s="460" t="s">
        <v>220</v>
      </c>
      <c r="L219" s="460">
        <v>60005505</v>
      </c>
      <c r="M219" s="461">
        <v>45665</v>
      </c>
      <c r="N219" s="461">
        <v>45673</v>
      </c>
      <c r="O219" s="467" t="s">
        <v>2278</v>
      </c>
      <c r="P219" s="463" t="str">
        <f>IF(LEFT(B219,5)="09735",
    IF(ISNA(VLOOKUP(Tabla13[[#This Row],[Apoyo]],'LM SAP'!A:G,1,FALSE)),
        "No Disponible",
        IF(VLOOKUP(Tabla13[[#This Row],[Apoyo]],'LM SAP'!A:AD,9,FALSE)="RR",
            "Disponible",
            "Firmas SAP"
        )
    ),
    "CONSULTAR"
)</f>
        <v>No Disponible</v>
      </c>
      <c r="Q219" s="460" t="str">
        <f>MID(Tabla13[[#This Row],[Código Indra]],1,13)</f>
        <v>0973524300000</v>
      </c>
      <c r="R219" s="464" t="str">
        <f>IF(ISNA(VLOOKUP(Tabla13[[#This Row],[Código Indra]],#REF!,1,FALSE)),"NO", "SI")</f>
        <v>SI</v>
      </c>
      <c r="S219" s="460" t="str">
        <f>IF(ISNA(VLOOKUP(Tabla13[[#This Row],[Código Indra]],Tabla132[[Código INDRA]:[Nombre]],1,FALSE)),"NO", "SI")</f>
        <v>SI</v>
      </c>
      <c r="T219" s="510"/>
      <c r="U219" s="464" t="s">
        <v>227</v>
      </c>
      <c r="V219" s="464" t="e">
        <f>VLOOKUP(Tabla13[[#This Row],[Apoyo]],'LM SAP'!A:I,9,FALSE)</f>
        <v>#N/A</v>
      </c>
      <c r="X219" s="466">
        <v>0</v>
      </c>
      <c r="Y219" s="464">
        <f>Tabla13[[#This Row],[ID]]</f>
        <v>210</v>
      </c>
    </row>
    <row r="220" spans="1:25" s="464" customFormat="1" ht="24" x14ac:dyDescent="0.25">
      <c r="A220" s="453">
        <v>211</v>
      </c>
      <c r="B220" s="454" t="s">
        <v>1121</v>
      </c>
      <c r="C220" s="469" t="s">
        <v>1122</v>
      </c>
      <c r="D220" s="456" t="s">
        <v>80</v>
      </c>
      <c r="E220" s="457" t="s">
        <v>1123</v>
      </c>
      <c r="F220" s="458">
        <v>1</v>
      </c>
      <c r="G220" s="465"/>
      <c r="H220" s="460"/>
      <c r="I220" s="460" t="s">
        <v>276</v>
      </c>
      <c r="J220" s="460"/>
      <c r="K220" s="460" t="s">
        <v>1411</v>
      </c>
      <c r="L220" s="460">
        <v>60005316</v>
      </c>
      <c r="M220" s="461">
        <v>45637</v>
      </c>
      <c r="N220" s="461">
        <v>45644</v>
      </c>
      <c r="O220" s="470" t="s">
        <v>2279</v>
      </c>
      <c r="P220" s="463" t="str">
        <f>IF(LEFT(B220,5)="09735",
    IF(ISNA(VLOOKUP(Tabla13[[#This Row],[Apoyo]],'LM SAP'!A:G,1,FALSE)),
        "No Disponible",
        IF(VLOOKUP(Tabla13[[#This Row],[Apoyo]],'LM SAP'!A:AD,9,FALSE)="RR",
            "Disponible",
            "Firmas SAP"
        )
    ),
    "CONSULTAR"
)</f>
        <v>No Disponible</v>
      </c>
      <c r="Q220" s="460" t="str">
        <f>MID(Tabla13[[#This Row],[Código Indra]],1,13)</f>
        <v>0973544300100</v>
      </c>
      <c r="R220" s="464" t="str">
        <f>IF(ISNA(VLOOKUP(Tabla13[[#This Row],[Código Indra]],#REF!,1,FALSE)),"NO", "SI")</f>
        <v>SI</v>
      </c>
      <c r="S220" s="460" t="str">
        <f>IF(ISNA(VLOOKUP(Tabla13[[#This Row],[Código Indra]],Tabla132[[Código INDRA]:[Nombre]],1,FALSE)),"NO", "SI")</f>
        <v>SI</v>
      </c>
      <c r="T220" s="465" t="s">
        <v>2005</v>
      </c>
      <c r="U220" s="464" t="s">
        <v>256</v>
      </c>
      <c r="V220" s="464" t="e">
        <f>VLOOKUP(Tabla13[[#This Row],[Apoyo]],'LM SAP'!A:I,9,FALSE)</f>
        <v>#N/A</v>
      </c>
      <c r="X220" s="466">
        <v>0</v>
      </c>
      <c r="Y220" s="464">
        <f>Tabla13[[#This Row],[ID]]</f>
        <v>211</v>
      </c>
    </row>
    <row r="221" spans="1:25" s="464" customFormat="1" ht="24" x14ac:dyDescent="0.25">
      <c r="A221" s="453">
        <v>212</v>
      </c>
      <c r="B221" s="454" t="s">
        <v>1124</v>
      </c>
      <c r="C221" s="469" t="s">
        <v>1125</v>
      </c>
      <c r="D221" s="456" t="s">
        <v>80</v>
      </c>
      <c r="E221" s="457" t="s">
        <v>1126</v>
      </c>
      <c r="F221" s="458">
        <v>1</v>
      </c>
      <c r="G221" s="465"/>
      <c r="H221" s="460"/>
      <c r="I221" s="460" t="s">
        <v>276</v>
      </c>
      <c r="J221" s="460"/>
      <c r="K221" s="460" t="s">
        <v>1411</v>
      </c>
      <c r="L221" s="460">
        <v>60005317</v>
      </c>
      <c r="M221" s="461">
        <v>45637</v>
      </c>
      <c r="N221" s="461">
        <v>45666</v>
      </c>
      <c r="O221" s="470"/>
      <c r="P221" s="463" t="str">
        <f>IF(LEFT(B221,5)="09735",
    IF(ISNA(VLOOKUP(Tabla13[[#This Row],[Apoyo]],'LM SAP'!A:G,1,FALSE)),
        "No Disponible",
        IF(VLOOKUP(Tabla13[[#This Row],[Apoyo]],'LM SAP'!A:AD,9,FALSE)="RR",
            "Disponible",
            "Firmas SAP"
        )
    ),
    "CONSULTAR"
)</f>
        <v>No Disponible</v>
      </c>
      <c r="Q221" s="460" t="str">
        <f>MID(Tabla13[[#This Row],[Código Indra]],1,13)</f>
        <v>0973544300200</v>
      </c>
      <c r="R221" s="464" t="str">
        <f>IF(ISNA(VLOOKUP(Tabla13[[#This Row],[Código Indra]],#REF!,1,FALSE)),"NO", "SI")</f>
        <v>SI</v>
      </c>
      <c r="S221" s="460" t="str">
        <f>IF(ISNA(VLOOKUP(Tabla13[[#This Row],[Código Indra]],Tabla132[[Código INDRA]:[Nombre]],1,FALSE)),"NO", "SI")</f>
        <v>SI</v>
      </c>
      <c r="T221" s="510" t="s">
        <v>2005</v>
      </c>
      <c r="U221" s="464" t="s">
        <v>256</v>
      </c>
      <c r="V221" s="464" t="e">
        <f>VLOOKUP(Tabla13[[#This Row],[Apoyo]],'LM SAP'!A:I,9,FALSE)</f>
        <v>#N/A</v>
      </c>
      <c r="X221" s="466">
        <v>0</v>
      </c>
      <c r="Y221" s="464">
        <f>Tabla13[[#This Row],[ID]]</f>
        <v>212</v>
      </c>
    </row>
    <row r="222" spans="1:25" s="464" customFormat="1" ht="24" x14ac:dyDescent="0.25">
      <c r="A222" s="453">
        <v>213</v>
      </c>
      <c r="B222" s="454" t="s">
        <v>1127</v>
      </c>
      <c r="C222" s="469" t="s">
        <v>1128</v>
      </c>
      <c r="D222" s="456" t="s">
        <v>80</v>
      </c>
      <c r="E222" s="457" t="s">
        <v>1129</v>
      </c>
      <c r="F222" s="458">
        <v>1</v>
      </c>
      <c r="G222" s="465"/>
      <c r="H222" s="460"/>
      <c r="I222" s="460" t="s">
        <v>276</v>
      </c>
      <c r="J222" s="460"/>
      <c r="K222" s="460" t="s">
        <v>1411</v>
      </c>
      <c r="L222" s="460">
        <v>60005382</v>
      </c>
      <c r="M222" s="461">
        <v>45637</v>
      </c>
      <c r="N222" s="461">
        <v>45670</v>
      </c>
      <c r="O222" s="470" t="s">
        <v>2280</v>
      </c>
      <c r="P222" s="463" t="str">
        <f>IF(LEFT(B222,5)="09735",
    IF(ISNA(VLOOKUP(Tabla13[[#This Row],[Apoyo]],'LM SAP'!A:G,1,FALSE)),
        "No Disponible",
        IF(VLOOKUP(Tabla13[[#This Row],[Apoyo]],'LM SAP'!A:AD,9,FALSE)="RR",
            "Disponible",
            "Firmas SAP"
        )
    ),
    "CONSULTAR"
)</f>
        <v>No Disponible</v>
      </c>
      <c r="Q222" s="460" t="str">
        <f>MID(Tabla13[[#This Row],[Código Indra]],1,13)</f>
        <v>0973544300300</v>
      </c>
      <c r="R222" s="464" t="str">
        <f>IF(ISNA(VLOOKUP(Tabla13[[#This Row],[Código Indra]],#REF!,1,FALSE)),"NO", "SI")</f>
        <v>SI</v>
      </c>
      <c r="S222" s="460" t="str">
        <f>IF(ISNA(VLOOKUP(Tabla13[[#This Row],[Código Indra]],Tabla132[[Código INDRA]:[Nombre]],1,FALSE)),"NO", "SI")</f>
        <v>NO</v>
      </c>
      <c r="T222" s="465" t="s">
        <v>2005</v>
      </c>
      <c r="U222" s="464" t="s">
        <v>256</v>
      </c>
      <c r="V222" s="464" t="e">
        <f>VLOOKUP(Tabla13[[#This Row],[Apoyo]],'LM SAP'!A:I,9,FALSE)</f>
        <v>#N/A</v>
      </c>
      <c r="X222" s="466">
        <v>0</v>
      </c>
      <c r="Y222" s="464">
        <f>Tabla13[[#This Row],[ID]]</f>
        <v>213</v>
      </c>
    </row>
    <row r="223" spans="1:25" s="464" customFormat="1" ht="36" x14ac:dyDescent="0.25">
      <c r="A223" s="453">
        <v>214</v>
      </c>
      <c r="B223" s="454" t="s">
        <v>1127</v>
      </c>
      <c r="C223" s="469" t="s">
        <v>1128</v>
      </c>
      <c r="D223" s="456" t="s">
        <v>80</v>
      </c>
      <c r="E223" s="457" t="s">
        <v>1129</v>
      </c>
      <c r="F223" s="458">
        <v>1</v>
      </c>
      <c r="G223" s="465"/>
      <c r="H223" s="460"/>
      <c r="I223" s="460" t="s">
        <v>276</v>
      </c>
      <c r="J223" s="460"/>
      <c r="K223" s="460" t="s">
        <v>1411</v>
      </c>
      <c r="L223" s="460">
        <v>60005933</v>
      </c>
      <c r="M223" s="461">
        <v>45707</v>
      </c>
      <c r="N223" s="461">
        <v>45708</v>
      </c>
      <c r="O223" s="470" t="s">
        <v>2281</v>
      </c>
      <c r="P223" s="463" t="s">
        <v>2282</v>
      </c>
      <c r="Q223" s="460" t="s">
        <v>2283</v>
      </c>
      <c r="R223" s="464" t="s">
        <v>256</v>
      </c>
      <c r="S223" s="460" t="str">
        <f>IF(ISNA(VLOOKUP(Tabla13[[#This Row],[Código Indra]],Tabla132[[Código INDRA]:[Nombre]],1,FALSE)),"NO", "SI")</f>
        <v>NO</v>
      </c>
      <c r="T223" s="465" t="s">
        <v>2005</v>
      </c>
      <c r="U223" s="510" t="s">
        <v>256</v>
      </c>
      <c r="V223" s="464" t="e">
        <f>VLOOKUP(Tabla13[[#This Row],[Apoyo]],'LM SAP'!A:I,9,FALSE)</f>
        <v>#N/A</v>
      </c>
      <c r="X223" s="466"/>
      <c r="Y223" s="464">
        <f>Tabla13[[#This Row],[ID]]</f>
        <v>214</v>
      </c>
    </row>
    <row r="224" spans="1:25" s="464" customFormat="1" ht="24" x14ac:dyDescent="0.25">
      <c r="A224" s="453">
        <v>215</v>
      </c>
      <c r="B224" s="454" t="s">
        <v>1130</v>
      </c>
      <c r="C224" s="469" t="s">
        <v>1131</v>
      </c>
      <c r="D224" s="456" t="s">
        <v>80</v>
      </c>
      <c r="E224" s="457" t="s">
        <v>1132</v>
      </c>
      <c r="F224" s="458">
        <v>1</v>
      </c>
      <c r="G224" s="465"/>
      <c r="H224" s="460"/>
      <c r="I224" s="460" t="s">
        <v>276</v>
      </c>
      <c r="J224" s="460"/>
      <c r="K224" s="460" t="s">
        <v>1411</v>
      </c>
      <c r="L224" s="460">
        <v>60005383</v>
      </c>
      <c r="M224" s="461">
        <v>45637</v>
      </c>
      <c r="N224" s="461">
        <v>45670</v>
      </c>
      <c r="O224" s="470" t="s">
        <v>2280</v>
      </c>
      <c r="P224" s="463" t="str">
        <f>IF(LEFT(B224,5)="09735",
    IF(ISNA(VLOOKUP(Tabla13[[#This Row],[Apoyo]],'LM SAP'!A:G,1,FALSE)),
        "No Disponible",
        IF(VLOOKUP(Tabla13[[#This Row],[Apoyo]],'LM SAP'!A:AD,9,FALSE)="RR",
            "Disponible",
            "Firmas SAP"
        )
    ),
    "CONSULTAR"
)</f>
        <v>No Disponible</v>
      </c>
      <c r="Q224" s="460" t="str">
        <f>MID(Tabla13[[#This Row],[Código Indra]],1,13)</f>
        <v>0973544300400</v>
      </c>
      <c r="R224" s="464" t="str">
        <f>IF(ISNA(VLOOKUP(Tabla13[[#This Row],[Código Indra]],#REF!,1,FALSE)),"NO", "SI")</f>
        <v>SI</v>
      </c>
      <c r="S224" s="460" t="str">
        <f>IF(ISNA(VLOOKUP(Tabla13[[#This Row],[Código Indra]],Tabla132[[Código INDRA]:[Nombre]],1,FALSE)),"NO", "SI")</f>
        <v>NO</v>
      </c>
      <c r="T224" s="465" t="s">
        <v>2005</v>
      </c>
      <c r="U224" s="464" t="s">
        <v>256</v>
      </c>
      <c r="V224" s="464" t="e">
        <f>VLOOKUP(Tabla13[[#This Row],[Apoyo]],'LM SAP'!A:I,9,FALSE)</f>
        <v>#N/A</v>
      </c>
      <c r="X224" s="466">
        <v>0</v>
      </c>
      <c r="Y224" s="464">
        <f>Tabla13[[#This Row],[ID]]</f>
        <v>215</v>
      </c>
    </row>
    <row r="225" spans="1:25" s="464" customFormat="1" ht="36" x14ac:dyDescent="0.25">
      <c r="A225" s="453">
        <v>216</v>
      </c>
      <c r="B225" s="454" t="s">
        <v>1130</v>
      </c>
      <c r="C225" s="469" t="s">
        <v>1131</v>
      </c>
      <c r="D225" s="456" t="s">
        <v>80</v>
      </c>
      <c r="E225" s="457" t="s">
        <v>1132</v>
      </c>
      <c r="F225" s="458">
        <v>1</v>
      </c>
      <c r="G225" s="465"/>
      <c r="H225" s="460"/>
      <c r="I225" s="460" t="s">
        <v>276</v>
      </c>
      <c r="J225" s="460"/>
      <c r="K225" s="460" t="s">
        <v>1411</v>
      </c>
      <c r="L225" s="460">
        <v>60005934</v>
      </c>
      <c r="M225" s="461">
        <v>45707</v>
      </c>
      <c r="N225" s="461">
        <v>45708</v>
      </c>
      <c r="O225" s="470" t="s">
        <v>2281</v>
      </c>
      <c r="P225" s="463" t="s">
        <v>2282</v>
      </c>
      <c r="Q225" s="460" t="s">
        <v>2283</v>
      </c>
      <c r="R225" s="464" t="s">
        <v>256</v>
      </c>
      <c r="S225" s="460" t="str">
        <f>IF(ISNA(VLOOKUP(Tabla13[[#This Row],[Código Indra]],Tabla132[[Código INDRA]:[Nombre]],1,FALSE)),"NO", "SI")</f>
        <v>NO</v>
      </c>
      <c r="T225" s="465" t="s">
        <v>2005</v>
      </c>
      <c r="U225" s="465" t="s">
        <v>256</v>
      </c>
      <c r="V225" s="464" t="e">
        <f>VLOOKUP(Tabla13[[#This Row],[Apoyo]],'LM SAP'!A:I,9,FALSE)</f>
        <v>#N/A</v>
      </c>
      <c r="X225" s="466"/>
      <c r="Y225" s="464">
        <f>Tabla13[[#This Row],[ID]]</f>
        <v>216</v>
      </c>
    </row>
    <row r="226" spans="1:25" s="464" customFormat="1" ht="24" x14ac:dyDescent="0.25">
      <c r="A226" s="453">
        <v>217</v>
      </c>
      <c r="B226" s="454" t="s">
        <v>2284</v>
      </c>
      <c r="C226" s="469" t="s">
        <v>2285</v>
      </c>
      <c r="D226" s="469" t="s">
        <v>1134</v>
      </c>
      <c r="E226" s="457" t="s">
        <v>1135</v>
      </c>
      <c r="F226" s="458">
        <v>1</v>
      </c>
      <c r="G226" s="465"/>
      <c r="H226" s="460"/>
      <c r="I226" s="460" t="s">
        <v>276</v>
      </c>
      <c r="J226" s="460"/>
      <c r="K226" s="460" t="s">
        <v>1411</v>
      </c>
      <c r="L226" s="460">
        <v>60005506</v>
      </c>
      <c r="M226" s="461">
        <v>45665</v>
      </c>
      <c r="N226" s="461">
        <v>45674</v>
      </c>
      <c r="O226" s="470" t="s">
        <v>300</v>
      </c>
      <c r="P226" s="463" t="str">
        <f>IF(LEFT(B226,5)="09735",
    IF(ISNA(VLOOKUP(Tabla13[[#This Row],[Apoyo]],'LM SAP'!A:G,1,FALSE)),
        "No Disponible",
        IF(VLOOKUP(Tabla13[[#This Row],[Apoyo]],'LM SAP'!A:AD,9,FALSE)="RR",
            "Disponible",
            "Firmas SAP"
        )
    ),
    "CONSULTAR"
)</f>
        <v>No Disponible</v>
      </c>
      <c r="Q226" s="460" t="str">
        <f>MID(Tabla13[[#This Row],[Código Indra]],1,13)</f>
        <v>0973544300500</v>
      </c>
      <c r="R226" s="464" t="str">
        <f>IF(ISNA(VLOOKUP(Tabla13[[#This Row],[Código Indra]],#REF!,1,FALSE)),"NO", "SI")</f>
        <v>SI</v>
      </c>
      <c r="S226" s="460" t="str">
        <f>IF(ISNA(VLOOKUP(Tabla13[[#This Row],[Código Indra]],Tabla132[[Código INDRA]:[Nombre]],1,FALSE)),"NO", "SI")</f>
        <v>NO</v>
      </c>
      <c r="T226" s="465" t="s">
        <v>2005</v>
      </c>
      <c r="U226" s="464" t="s">
        <v>256</v>
      </c>
      <c r="V226" s="464" t="e">
        <f>VLOOKUP(Tabla13[[#This Row],[Apoyo]],'LM SAP'!A:I,9,FALSE)</f>
        <v>#N/A</v>
      </c>
      <c r="X226" s="466">
        <v>0</v>
      </c>
      <c r="Y226" s="464">
        <f>Tabla13[[#This Row],[ID]]</f>
        <v>217</v>
      </c>
    </row>
    <row r="227" spans="1:25" s="464" customFormat="1" ht="24" x14ac:dyDescent="0.25">
      <c r="A227" s="453">
        <v>218</v>
      </c>
      <c r="B227" s="454" t="s">
        <v>2286</v>
      </c>
      <c r="C227" s="469" t="s">
        <v>2287</v>
      </c>
      <c r="D227" s="456" t="s">
        <v>80</v>
      </c>
      <c r="E227" s="526" t="s">
        <v>2288</v>
      </c>
      <c r="F227" s="458">
        <v>1</v>
      </c>
      <c r="G227" s="465"/>
      <c r="H227" s="460"/>
      <c r="I227" s="460" t="s">
        <v>276</v>
      </c>
      <c r="J227" s="460"/>
      <c r="K227" s="460" t="s">
        <v>1411</v>
      </c>
      <c r="L227" s="517">
        <v>60005600</v>
      </c>
      <c r="M227" s="518">
        <v>45679</v>
      </c>
      <c r="N227" s="461">
        <v>45698</v>
      </c>
      <c r="O227" s="470" t="s">
        <v>2091</v>
      </c>
      <c r="P227" s="520" t="str">
        <f>IF(LEFT(B227,5)="09735",
    IF(ISNA(VLOOKUP(Tabla13[[#This Row],[Apoyo]],'LM SAP'!A:G,1,FALSE)),
        "No Disponible",
        IF(VLOOKUP(Tabla13[[#This Row],[Apoyo]],'LM SAP'!A:AD,9,FALSE)="RR",
            "Disponible",
            "Firmas SAP"
        )
    ),
    "CONSULTAR"
)</f>
        <v>No Disponible</v>
      </c>
      <c r="Q227" s="460" t="str">
        <f>MID(Tabla13[[#This Row],[Código Indra]],1,13)</f>
        <v>0973544300600</v>
      </c>
      <c r="R227" s="464" t="str">
        <f>IF(ISNA(VLOOKUP(Tabla13[[#This Row],[Código Indra]],#REF!,1,FALSE)),"NO", "SI")</f>
        <v>SI</v>
      </c>
      <c r="S227" s="460" t="str">
        <f>IF(ISNA(VLOOKUP(Tabla13[[#This Row],[Código Indra]],Tabla132[[Código INDRA]:[Nombre]],1,FALSE)),"NO", "SI")</f>
        <v>NO</v>
      </c>
      <c r="T227" s="465" t="s">
        <v>2005</v>
      </c>
      <c r="U227" s="465" t="s">
        <v>256</v>
      </c>
      <c r="V227" s="464" t="e">
        <f>VLOOKUP(Tabla13[[#This Row],[Apoyo]],'LM SAP'!A:I,9,FALSE)</f>
        <v>#N/A</v>
      </c>
      <c r="X227" s="466"/>
      <c r="Y227" s="464">
        <f>Tabla13[[#This Row],[ID]]</f>
        <v>218</v>
      </c>
    </row>
    <row r="228" spans="1:25" s="464" customFormat="1" ht="132" x14ac:dyDescent="0.25">
      <c r="A228" s="453">
        <v>219</v>
      </c>
      <c r="B228" s="454" t="s">
        <v>115</v>
      </c>
      <c r="C228" s="469" t="s">
        <v>116</v>
      </c>
      <c r="D228" s="456"/>
      <c r="E228" s="457" t="s">
        <v>2289</v>
      </c>
      <c r="F228" s="458">
        <v>1</v>
      </c>
      <c r="G228" s="465" t="s">
        <v>260</v>
      </c>
      <c r="H228" s="460" t="s">
        <v>2000</v>
      </c>
      <c r="I228" s="460" t="s">
        <v>276</v>
      </c>
      <c r="J228" s="460" t="s">
        <v>1318</v>
      </c>
      <c r="K228" s="460" t="s">
        <v>220</v>
      </c>
      <c r="L228" s="460">
        <v>60005429</v>
      </c>
      <c r="M228" s="461">
        <v>45643</v>
      </c>
      <c r="N228" s="461">
        <v>45705</v>
      </c>
      <c r="O228" s="494" t="s">
        <v>2290</v>
      </c>
      <c r="P228" s="463" t="str">
        <f>IF(LEFT(B228,5)="09735",
    IF(ISNA(VLOOKUP(Tabla13[[#This Row],[Apoyo]],'LM SAP'!A:G,1,FALSE)),
        "No Disponible",
        IF(VLOOKUP(Tabla13[[#This Row],[Apoyo]],'LM SAP'!A:AD,9,FALSE)="RR",
            "Disponible",
            "Firmas SAP"
        )
    ),
    "CONSULTAR"
)</f>
        <v>No Disponible</v>
      </c>
      <c r="Q228" s="460" t="str">
        <f>MID(Tabla13[[#This Row],[Código Indra]],1,13)</f>
        <v>0973525310000</v>
      </c>
      <c r="R228" s="464" t="str">
        <f>IF(ISNA(VLOOKUP(Tabla13[[#This Row],[Código Indra]],#REF!,1,FALSE)),"NO", "SI")</f>
        <v>SI</v>
      </c>
      <c r="S228" s="460" t="str">
        <f>IF(ISNA(VLOOKUP(Tabla13[[#This Row],[Código Indra]],Tabla132[[Código INDRA]:[Nombre]],1,FALSE)),"NO", "SI")</f>
        <v>SI</v>
      </c>
      <c r="T228" s="465"/>
      <c r="U228" s="464" t="s">
        <v>227</v>
      </c>
      <c r="V228" s="464" t="e">
        <f>VLOOKUP(Tabla13[[#This Row],[Apoyo]],'LM SAP'!A:I,9,FALSE)</f>
        <v>#N/A</v>
      </c>
      <c r="X228" s="466">
        <v>16</v>
      </c>
      <c r="Y228" s="464">
        <f>Tabla13[[#This Row],[ID]]</f>
        <v>219</v>
      </c>
    </row>
    <row r="229" spans="1:25" s="464" customFormat="1" ht="24" x14ac:dyDescent="0.25">
      <c r="A229" s="453">
        <v>220</v>
      </c>
      <c r="B229" s="480" t="s">
        <v>963</v>
      </c>
      <c r="C229" s="469" t="s">
        <v>964</v>
      </c>
      <c r="D229" s="456"/>
      <c r="E229" s="457" t="s">
        <v>965</v>
      </c>
      <c r="F229" s="458">
        <v>1</v>
      </c>
      <c r="G229" s="465"/>
      <c r="H229" s="460"/>
      <c r="I229" s="460"/>
      <c r="J229" s="460"/>
      <c r="K229" s="460" t="s">
        <v>220</v>
      </c>
      <c r="L229" s="460">
        <v>60004900</v>
      </c>
      <c r="M229" s="461"/>
      <c r="N229" s="461"/>
      <c r="O229" s="470" t="s">
        <v>2291</v>
      </c>
      <c r="P229" s="463" t="str">
        <f>IF(LEFT(B229,5)="09735",
    IF(ISNA(VLOOKUP(Tabla13[[#This Row],[Apoyo]],'LM SAP'!A:G,1,FALSE)),
        "No Disponible",
        IF(VLOOKUP(Tabla13[[#This Row],[Apoyo]],'LM SAP'!A:AD,9,FALSE)="RR",
            "Disponible",
            "Firmas SAP"
        )
    ),
    "CONSULTAR"
)</f>
        <v>No Disponible</v>
      </c>
      <c r="Q229" s="460" t="str">
        <f>MID(Tabla13[[#This Row],[Código Indra]],1,13)</f>
        <v>0973564310100</v>
      </c>
      <c r="R229" s="464" t="str">
        <f>IF(ISNA(VLOOKUP(Tabla13[[#This Row],[Código Indra]],#REF!,1,FALSE)),"NO", "SI")</f>
        <v>SI</v>
      </c>
      <c r="S229" s="460" t="str">
        <f>IF(ISNA(VLOOKUP(Tabla13[[#This Row],[Código Indra]],Tabla132[[Código INDRA]:[Nombre]],1,FALSE)),"NO", "SI")</f>
        <v>NO</v>
      </c>
      <c r="T229" s="465"/>
      <c r="U229" s="511" t="s">
        <v>256</v>
      </c>
      <c r="V229" s="464" t="e">
        <f>VLOOKUP(Tabla13[[#This Row],[Apoyo]],'LM SAP'!A:I,9,FALSE)</f>
        <v>#N/A</v>
      </c>
      <c r="X229" s="466"/>
      <c r="Y229" s="464">
        <f>Tabla13[[#This Row],[ID]]</f>
        <v>220</v>
      </c>
    </row>
    <row r="230" spans="1:25" s="464" customFormat="1" ht="48" x14ac:dyDescent="0.25">
      <c r="A230" s="453">
        <v>221</v>
      </c>
      <c r="B230" s="454" t="s">
        <v>712</v>
      </c>
      <c r="C230" s="469" t="s">
        <v>713</v>
      </c>
      <c r="D230" s="456" t="s">
        <v>116</v>
      </c>
      <c r="E230" s="457" t="s">
        <v>2292</v>
      </c>
      <c r="F230" s="458">
        <v>1</v>
      </c>
      <c r="G230" s="465"/>
      <c r="H230" s="460"/>
      <c r="I230" s="460" t="s">
        <v>276</v>
      </c>
      <c r="J230" s="460" t="s">
        <v>1318</v>
      </c>
      <c r="K230" s="460" t="s">
        <v>1411</v>
      </c>
      <c r="L230" s="460">
        <v>60004832</v>
      </c>
      <c r="M230" s="461">
        <v>45600</v>
      </c>
      <c r="N230" s="461">
        <v>45299</v>
      </c>
      <c r="O230" s="470" t="s">
        <v>2293</v>
      </c>
      <c r="P230" s="463" t="str">
        <f>IF(LEFT(B230,5)="09735",
    IF(ISNA(VLOOKUP(Tabla13[[#This Row],[Apoyo]],'LM SAP'!A:G,1,FALSE)),
        "No Disponible",
        IF(VLOOKUP(Tabla13[[#This Row],[Apoyo]],'LM SAP'!A:AD,9,FALSE)="RR",
            "Disponible",
            "Firmas SAP"
        )
    ),
    "CONSULTAR"
)</f>
        <v>Disponible</v>
      </c>
      <c r="Q230" s="460" t="str">
        <f>MID(Tabla13[[#This Row],[Código Indra]],1,13)</f>
        <v>0973525310100</v>
      </c>
      <c r="R230" s="464" t="str">
        <f>IF(ISNA(VLOOKUP(Tabla13[[#This Row],[Código Indra]],#REF!,1,FALSE)),"NO", "SI")</f>
        <v>SI</v>
      </c>
      <c r="S230" s="460" t="str">
        <f>IF(ISNA(VLOOKUP(Tabla13[[#This Row],[Código Indra]],Tabla132[[Código INDRA]:[Nombre]],1,FALSE)),"NO", "SI")</f>
        <v>SI</v>
      </c>
      <c r="T230" s="465"/>
      <c r="U230" s="464" t="s">
        <v>256</v>
      </c>
      <c r="V230" s="464" t="str">
        <f>VLOOKUP(Tabla13[[#This Row],[Apoyo]],'LM SAP'!A:I,9,FALSE)</f>
        <v>RR</v>
      </c>
      <c r="X230" s="466">
        <v>100</v>
      </c>
      <c r="Y230" s="464">
        <f>Tabla13[[#This Row],[ID]]</f>
        <v>221</v>
      </c>
    </row>
    <row r="231" spans="1:25" s="464" customFormat="1" ht="156" x14ac:dyDescent="0.25">
      <c r="A231" s="453">
        <v>222</v>
      </c>
      <c r="B231" s="454" t="s">
        <v>903</v>
      </c>
      <c r="C231" s="469" t="s">
        <v>904</v>
      </c>
      <c r="D231" s="456" t="s">
        <v>116</v>
      </c>
      <c r="E231" s="457" t="s">
        <v>2294</v>
      </c>
      <c r="F231" s="458">
        <v>1</v>
      </c>
      <c r="G231" s="465"/>
      <c r="H231" s="460" t="s">
        <v>2000</v>
      </c>
      <c r="I231" s="460" t="s">
        <v>276</v>
      </c>
      <c r="J231" s="460" t="s">
        <v>1318</v>
      </c>
      <c r="K231" s="460" t="s">
        <v>220</v>
      </c>
      <c r="L231" s="460">
        <v>60006155</v>
      </c>
      <c r="M231" s="461">
        <v>45716</v>
      </c>
      <c r="N231" s="461">
        <v>45772</v>
      </c>
      <c r="O231" s="527" t="s">
        <v>2295</v>
      </c>
      <c r="P231" s="463" t="str">
        <f>IF(LEFT(B231,5)="09735",
    IF(ISNA(VLOOKUP(Tabla13[[#This Row],[Apoyo]],'LM SAP'!A:G,1,FALSE)),
        "No Disponible",
        IF(VLOOKUP(Tabla13[[#This Row],[Apoyo]],'LM SAP'!A:AD,9,FALSE)="RR",
            "Disponible",
            "Firmas SAP"
        )
    ),
    "CONSULTAR"
)</f>
        <v>No Disponible</v>
      </c>
      <c r="Q231" s="460" t="str">
        <f>MID(Tabla13[[#This Row],[Código Indra]],1,13)</f>
        <v>0973525310200</v>
      </c>
      <c r="R231" s="464" t="str">
        <f>IF(ISNA(VLOOKUP(Tabla13[[#This Row],[Código Indra]],#REF!,1,FALSE)),"NO", "SI")</f>
        <v>SI</v>
      </c>
      <c r="S231" s="460" t="str">
        <f>IF(ISNA(VLOOKUP(Tabla13[[#This Row],[Código Indra]],Tabla132[[Código INDRA]:[Nombre]],1,FALSE)),"NO", "SI")</f>
        <v>NO</v>
      </c>
      <c r="T231" s="465"/>
      <c r="U231" s="464" t="s">
        <v>256</v>
      </c>
      <c r="V231" s="464" t="e">
        <f>VLOOKUP(Tabla13[[#This Row],[Apoyo]],'LM SAP'!A:I,9,FALSE)</f>
        <v>#N/A</v>
      </c>
      <c r="X231" s="466"/>
      <c r="Y231" s="464">
        <f>Tabla13[[#This Row],[ID]]</f>
        <v>222</v>
      </c>
    </row>
    <row r="232" spans="1:25" s="464" customFormat="1" x14ac:dyDescent="0.25">
      <c r="A232" s="453">
        <v>223</v>
      </c>
      <c r="B232" s="454" t="s">
        <v>2246</v>
      </c>
      <c r="C232" s="469" t="s">
        <v>2247</v>
      </c>
      <c r="D232" s="456" t="s">
        <v>116</v>
      </c>
      <c r="E232" s="457" t="s">
        <v>700</v>
      </c>
      <c r="F232" s="458">
        <v>1</v>
      </c>
      <c r="G232" s="465"/>
      <c r="H232" s="460"/>
      <c r="I232" s="460"/>
      <c r="J232" s="460"/>
      <c r="K232" s="460" t="s">
        <v>1411</v>
      </c>
      <c r="L232" s="460">
        <v>60006109</v>
      </c>
      <c r="M232" s="461">
        <v>45715</v>
      </c>
      <c r="N232" s="461">
        <v>45743</v>
      </c>
      <c r="O232" s="470" t="s">
        <v>300</v>
      </c>
      <c r="P232" s="463" t="str">
        <f>IF(LEFT(B232,5)="09735",
    IF(ISNA(VLOOKUP(Tabla13[[#This Row],[Apoyo]],'LM SAP'!A:G,1,FALSE)),
        "No Disponible",
        IF(VLOOKUP(Tabla13[[#This Row],[Apoyo]],'LM SAP'!A:AD,9,FALSE)="RR",
            "Disponible",
            "Firmas SAP"
        )
    ),
    "CONSULTAR"
)</f>
        <v>CONSULTAR</v>
      </c>
      <c r="Q232" s="460" t="str">
        <f>MID(Tabla13[[#This Row],[Código Indra]],1,13)</f>
        <v>0972825311200</v>
      </c>
      <c r="R232" s="464" t="str">
        <f>IF(ISNA(VLOOKUP(Tabla13[[#This Row],[Código Indra]],#REF!,1,FALSE)),"NO", "SI")</f>
        <v>SI</v>
      </c>
      <c r="S232" s="460" t="str">
        <f>IF(ISNA(VLOOKUP(Tabla13[[#This Row],[Código Indra]],Tabla132[[Código INDRA]:[Nombre]],1,FALSE)),"NO", "SI")</f>
        <v>NO</v>
      </c>
      <c r="T232" s="465" t="s">
        <v>2296</v>
      </c>
      <c r="U232" s="464" t="s">
        <v>256</v>
      </c>
      <c r="V232" s="464" t="e">
        <f>VLOOKUP(Tabla13[[#This Row],[Apoyo]],'LM SAP'!A:I,9,FALSE)</f>
        <v>#N/A</v>
      </c>
      <c r="X232" s="466">
        <v>2</v>
      </c>
      <c r="Y232" s="464">
        <f>Tabla13[[#This Row],[ID]]</f>
        <v>223</v>
      </c>
    </row>
    <row r="233" spans="1:25" s="464" customFormat="1" ht="24" x14ac:dyDescent="0.25">
      <c r="A233" s="453">
        <v>224</v>
      </c>
      <c r="B233" s="454" t="s">
        <v>111</v>
      </c>
      <c r="C233" s="469" t="s">
        <v>2297</v>
      </c>
      <c r="D233" s="469" t="s">
        <v>112</v>
      </c>
      <c r="E233" s="457" t="s">
        <v>700</v>
      </c>
      <c r="F233" s="458">
        <v>1</v>
      </c>
      <c r="G233" s="465"/>
      <c r="H233" s="460"/>
      <c r="I233" s="460" t="s">
        <v>2011</v>
      </c>
      <c r="J233" s="460" t="s">
        <v>1318</v>
      </c>
      <c r="K233" s="460" t="s">
        <v>220</v>
      </c>
      <c r="L233" s="460">
        <v>60006454</v>
      </c>
      <c r="M233" s="461">
        <v>45740</v>
      </c>
      <c r="N233" s="461">
        <v>45750</v>
      </c>
      <c r="O233" s="527" t="s">
        <v>2298</v>
      </c>
      <c r="P233" s="463" t="str">
        <f>IF(LEFT(B233,5)="09735",
    IF(ISNA(VLOOKUP(Tabla13[[#This Row],[Apoyo]],'LM SAP'!A:G,1,FALSE)),
        "No Disponible",
        IF(VLOOKUP(Tabla13[[#This Row],[Apoyo]],'LM SAP'!A:AD,9,FALSE)="RR",
            "Disponible",
            "Firmas SAP"
        )
    ),
    "CONSULTAR"
)</f>
        <v>No Disponible</v>
      </c>
      <c r="Q233" s="460" t="str">
        <f>MID(Tabla13[[#This Row],[Código Indra]],1,13)</f>
        <v>0973525320000</v>
      </c>
      <c r="R233" s="464" t="str">
        <f>IF(ISNA(VLOOKUP(Tabla13[[#This Row],[Código Indra]],#REF!,1,FALSE)),"NO", "SI")</f>
        <v>SI</v>
      </c>
      <c r="S233" s="460" t="str">
        <f>IF(ISNA(VLOOKUP(Tabla13[[#This Row],[Código Indra]],Tabla132[[Código INDRA]:[Nombre]],1,FALSE)),"NO", "SI")</f>
        <v>NO</v>
      </c>
      <c r="T233" s="465"/>
      <c r="U233" s="464" t="s">
        <v>256</v>
      </c>
      <c r="V233" s="464" t="e">
        <f>VLOOKUP(Tabla13[[#This Row],[Apoyo]],'LM SAP'!A:I,9,FALSE)</f>
        <v>#N/A</v>
      </c>
      <c r="X233" s="466">
        <v>152</v>
      </c>
      <c r="Y233" s="464">
        <f>Tabla13[[#This Row],[ID]]</f>
        <v>224</v>
      </c>
    </row>
    <row r="234" spans="1:25" s="464" customFormat="1" ht="48" x14ac:dyDescent="0.25">
      <c r="A234" s="453">
        <v>225</v>
      </c>
      <c r="B234" s="454" t="s">
        <v>155</v>
      </c>
      <c r="C234" s="455" t="s">
        <v>156</v>
      </c>
      <c r="D234" s="456" t="s">
        <v>156</v>
      </c>
      <c r="E234" s="457" t="s">
        <v>2299</v>
      </c>
      <c r="F234" s="458">
        <v>1</v>
      </c>
      <c r="G234" s="465"/>
      <c r="H234" s="460" t="s">
        <v>2000</v>
      </c>
      <c r="I234" s="460" t="s">
        <v>251</v>
      </c>
      <c r="J234" s="460" t="s">
        <v>1318</v>
      </c>
      <c r="K234" s="460" t="s">
        <v>220</v>
      </c>
      <c r="L234" s="460">
        <v>60004992</v>
      </c>
      <c r="M234" s="461">
        <v>45615</v>
      </c>
      <c r="N234" s="461">
        <v>45629</v>
      </c>
      <c r="O234" s="528" t="s">
        <v>2300</v>
      </c>
      <c r="P234" s="463" t="str">
        <f>IF(LEFT(B234,5)="09735",
    IF(ISNA(VLOOKUP(Tabla13[[#This Row],[Apoyo]],'LM SAP'!A:G,1,FALSE)),
        "No Disponible",
        IF(VLOOKUP(Tabla13[[#This Row],[Apoyo]],'LM SAP'!A:AD,9,FALSE)="RR",
            "Disponible",
            "Firmas SAP"
        )
    ),
    "CONSULTAR"
)</f>
        <v>No Disponible</v>
      </c>
      <c r="Q234" s="460" t="str">
        <f>MID(Tabla13[[#This Row],[Código Indra]],1,13)</f>
        <v>0973525330000</v>
      </c>
      <c r="R234" s="464" t="str">
        <f>IF(ISNA(VLOOKUP(Tabla13[[#This Row],[Código Indra]],#REF!,1,FALSE)),"NO", "SI")</f>
        <v>SI</v>
      </c>
      <c r="S234" s="460" t="str">
        <f>IF(ISNA(VLOOKUP(Tabla13[[#This Row],[Código Indra]],Tabla132[[Código INDRA]:[Nombre]],1,FALSE)),"NO", "SI")</f>
        <v>NO</v>
      </c>
      <c r="T234" s="465"/>
      <c r="U234" s="464" t="s">
        <v>256</v>
      </c>
      <c r="V234" s="464" t="e">
        <f>VLOOKUP(Tabla13[[#This Row],[Apoyo]],'LM SAP'!A:I,9,FALSE)</f>
        <v>#N/A</v>
      </c>
      <c r="W234" s="464" t="s">
        <v>234</v>
      </c>
      <c r="X234" s="466">
        <v>100</v>
      </c>
      <c r="Y234" s="464">
        <f>Tabla13[[#This Row],[ID]]</f>
        <v>225</v>
      </c>
    </row>
    <row r="235" spans="1:25" s="464" customFormat="1" ht="60" x14ac:dyDescent="0.25">
      <c r="A235" s="453">
        <v>225</v>
      </c>
      <c r="B235" s="454" t="s">
        <v>2301</v>
      </c>
      <c r="C235" s="457" t="s">
        <v>1394</v>
      </c>
      <c r="D235" s="459" t="s">
        <v>1862</v>
      </c>
      <c r="E235" s="457" t="s">
        <v>2302</v>
      </c>
      <c r="F235" s="465">
        <v>1</v>
      </c>
      <c r="G235" s="465" t="s">
        <v>260</v>
      </c>
      <c r="H235" s="460" t="s">
        <v>2000</v>
      </c>
      <c r="I235" s="460" t="s">
        <v>276</v>
      </c>
      <c r="J235" s="460"/>
      <c r="K235" s="517" t="s">
        <v>1411</v>
      </c>
      <c r="L235" s="529">
        <v>60007479</v>
      </c>
      <c r="M235" s="461">
        <v>45923</v>
      </c>
      <c r="N235" s="461">
        <v>45930</v>
      </c>
      <c r="O235" s="519" t="s">
        <v>2303</v>
      </c>
      <c r="P235" s="463" t="str">
        <f>IF(LEFT(B256,5)="09735",
    IF(ISNA(VLOOKUP(Tabla13[[#This Row],[Apoyo]],'LM SAP'!A:G,1,FALSE)),
        "No Disponible",
        IF(VLOOKUP(Tabla13[[#This Row],[Apoyo]],'LM SAP'!A:AD,9,FALSE)="RR",
            "Disponible",
            "Firmas SAP"
        )
    ),
    "CONSULTAR"
)</f>
        <v>Disponible</v>
      </c>
      <c r="Q235" s="460" t="str">
        <f>MID(Tabla13[[#This Row],[Código Indra]],1,13)</f>
        <v>0973525334600</v>
      </c>
      <c r="R235" s="460" t="str">
        <f>IF(ISNA(VLOOKUP(Tabla13[[#This Row],[Código Indra]],#REF!,1,FALSE)),"NO", "SI")</f>
        <v>SI</v>
      </c>
      <c r="S235" s="460" t="str">
        <f>IF(ISNA(VLOOKUP(Tabla13[[#This Row],[Código Indra]],Tabla132[[Código INDRA]:[Nombre]],1,FALSE)),"NO", "SI")</f>
        <v>NO</v>
      </c>
      <c r="T235" s="465"/>
      <c r="U235" s="510"/>
      <c r="V235" s="464" t="str">
        <f>VLOOKUP(Tabla13[[#This Row],[Apoyo]],'LM SAP'!A:I,9,FALSE)</f>
        <v>RR</v>
      </c>
      <c r="X235" s="466"/>
      <c r="Y235" s="464">
        <f>Tabla13[[#This Row],[ID]]</f>
        <v>225</v>
      </c>
    </row>
    <row r="236" spans="1:25" s="464" customFormat="1" ht="36" x14ac:dyDescent="0.25">
      <c r="A236" s="453">
        <v>226</v>
      </c>
      <c r="B236" s="454" t="s">
        <v>825</v>
      </c>
      <c r="C236" s="455" t="s">
        <v>1860</v>
      </c>
      <c r="D236" s="456" t="s">
        <v>156</v>
      </c>
      <c r="E236" s="457" t="s">
        <v>700</v>
      </c>
      <c r="F236" s="458">
        <v>1</v>
      </c>
      <c r="G236" s="465"/>
      <c r="H236" s="460"/>
      <c r="I236" s="460" t="s">
        <v>251</v>
      </c>
      <c r="J236" s="460" t="s">
        <v>1318</v>
      </c>
      <c r="K236" s="460" t="s">
        <v>1411</v>
      </c>
      <c r="L236" s="460">
        <v>60005176</v>
      </c>
      <c r="M236" s="461">
        <v>45621</v>
      </c>
      <c r="N236" s="461">
        <v>45308</v>
      </c>
      <c r="O236" s="467" t="s">
        <v>827</v>
      </c>
      <c r="P236" s="463" t="str">
        <f>IF(LEFT(B236,5)="09735",
    IF(ISNA(VLOOKUP(Tabla13[[#This Row],[Apoyo]],'LM SAP'!A:G,1,FALSE)),
        "No Disponible",
        IF(VLOOKUP(Tabla13[[#This Row],[Apoyo]],'LM SAP'!A:AD,9,FALSE)="RR",
            "Disponible",
            "Firmas SAP"
        )
    ),
    "CONSULTAR"
)</f>
        <v>No Disponible</v>
      </c>
      <c r="Q236" s="460" t="str">
        <f>MID(Tabla13[[#This Row],[Código Indra]],1,13)</f>
        <v>0973524330000</v>
      </c>
      <c r="R236" s="464" t="str">
        <f>IF(ISNA(VLOOKUP(Tabla13[[#This Row],[Código Indra]],#REF!,1,FALSE)),"NO", "SI")</f>
        <v>SI</v>
      </c>
      <c r="S236" s="460" t="str">
        <f>IF(ISNA(VLOOKUP(Tabla13[[#This Row],[Código Indra]],Tabla132[[Código INDRA]:[Nombre]],1,FALSE)),"NO", "SI")</f>
        <v>NO</v>
      </c>
      <c r="T236" s="465"/>
      <c r="U236" s="464" t="s">
        <v>227</v>
      </c>
      <c r="V236" s="464" t="e">
        <f>VLOOKUP(Tabla13[[#This Row],[Apoyo]],'LM SAP'!A:I,9,FALSE)</f>
        <v>#N/A</v>
      </c>
      <c r="W236" s="464" t="s">
        <v>234</v>
      </c>
      <c r="X236" s="466">
        <v>0</v>
      </c>
      <c r="Y236" s="464">
        <f>Tabla13[[#This Row],[ID]]</f>
        <v>226</v>
      </c>
    </row>
    <row r="237" spans="1:25" s="464" customFormat="1" ht="36" x14ac:dyDescent="0.25">
      <c r="A237" s="453">
        <v>226</v>
      </c>
      <c r="B237" s="480" t="s">
        <v>2304</v>
      </c>
      <c r="C237" s="469" t="s">
        <v>2305</v>
      </c>
      <c r="D237" s="456" t="s">
        <v>80</v>
      </c>
      <c r="E237" s="526" t="s">
        <v>2306</v>
      </c>
      <c r="F237" s="458">
        <v>1</v>
      </c>
      <c r="G237" s="465"/>
      <c r="H237" s="460"/>
      <c r="I237" s="460" t="s">
        <v>251</v>
      </c>
      <c r="J237" s="460"/>
      <c r="K237" s="517" t="s">
        <v>1411</v>
      </c>
      <c r="L237" s="517">
        <v>60007378</v>
      </c>
      <c r="M237" s="518">
        <v>45869</v>
      </c>
      <c r="N237" s="518">
        <v>45869</v>
      </c>
      <c r="O237" s="530" t="s">
        <v>2307</v>
      </c>
      <c r="P237" s="520" t="str">
        <f>IF(LEFT(B237,5)="09735",
    IF(ISNA(VLOOKUP(Tabla13[[#This Row],[Apoyo]],'LM SAP'!A:G,1,FALSE)),
        "No Disponible",
        IF(VLOOKUP(Tabla13[[#This Row],[Apoyo]],'LM SAP'!A:AD,9,FALSE)="RR",
            "Disponible",
            "Firmas SAP"
        )
    ),
    "CONSULTAR"
)</f>
        <v>No Disponible</v>
      </c>
      <c r="Q237" s="460" t="str">
        <f>MID(Tabla13[[#This Row],[Código Indra]],1,13)</f>
        <v>0973524300000</v>
      </c>
      <c r="R237" s="464" t="str">
        <f>IF(ISNA(VLOOKUP(Tabla13[[#This Row],[Código Indra]],#REF!,1,FALSE)),"NO", "SI")</f>
        <v>SI</v>
      </c>
      <c r="S237" s="460" t="str">
        <f>IF(ISNA(VLOOKUP(Tabla13[[#This Row],[Código Indra]],Tabla132[[Código INDRA]:[Nombre]],1,FALSE)),"NO", "SI")</f>
        <v>NO</v>
      </c>
      <c r="T237" s="465"/>
      <c r="V237" s="464" t="e">
        <f>VLOOKUP(Tabla13[[#This Row],[Apoyo]],'LM SAP'!A:I,9,FALSE)</f>
        <v>#N/A</v>
      </c>
      <c r="X237" s="466"/>
      <c r="Y237" s="464">
        <f>Tabla13[[#This Row],[ID]]</f>
        <v>226</v>
      </c>
    </row>
    <row r="238" spans="1:25" s="464" customFormat="1" ht="36" x14ac:dyDescent="0.25">
      <c r="A238" s="453">
        <v>227</v>
      </c>
      <c r="B238" s="454" t="s">
        <v>247</v>
      </c>
      <c r="C238" s="455" t="s">
        <v>248</v>
      </c>
      <c r="D238" s="456" t="s">
        <v>1860</v>
      </c>
      <c r="E238" s="457" t="s">
        <v>2308</v>
      </c>
      <c r="F238" s="458">
        <v>1</v>
      </c>
      <c r="G238" s="465"/>
      <c r="H238" s="460"/>
      <c r="I238" s="460" t="s">
        <v>251</v>
      </c>
      <c r="J238" s="460"/>
      <c r="K238" s="460" t="s">
        <v>1411</v>
      </c>
      <c r="L238" s="460">
        <v>60004987</v>
      </c>
      <c r="M238" s="461">
        <v>45615</v>
      </c>
      <c r="N238" s="461" t="s">
        <v>253</v>
      </c>
      <c r="O238" s="470" t="s">
        <v>2309</v>
      </c>
      <c r="P238" s="463" t="str">
        <f>IF(LEFT(B238,5)="09735",
    IF(ISNA(VLOOKUP(Tabla13[[#This Row],[Apoyo]],'LM SAP'!A:G,1,FALSE)),
        "No Disponible",
        IF(VLOOKUP(Tabla13[[#This Row],[Apoyo]],'LM SAP'!A:AD,9,FALSE)="RR",
            "Disponible",
            "Firmas SAP"
        )
    ),
    "CONSULTAR"
)</f>
        <v>No Disponible</v>
      </c>
      <c r="Q238" s="460" t="str">
        <f>MID(Tabla13[[#This Row],[Código Indra]],1,13)</f>
        <v>0973524330100</v>
      </c>
      <c r="R238" s="464" t="str">
        <f>IF(ISNA(VLOOKUP(Tabla13[[#This Row],[Código Indra]],#REF!,1,FALSE)),"NO", "SI")</f>
        <v>SI</v>
      </c>
      <c r="S238" s="460" t="str">
        <f>IF(ISNA(VLOOKUP(Tabla13[[#This Row],[Código Indra]],Tabla132[[Código INDRA]:[Nombre]],1,FALSE)),"NO", "SI")</f>
        <v>NO</v>
      </c>
      <c r="T238" s="465" t="s">
        <v>2005</v>
      </c>
      <c r="U238" s="464" t="s">
        <v>256</v>
      </c>
      <c r="V238" s="464" t="e">
        <f>VLOOKUP(Tabla13[[#This Row],[Apoyo]],'LM SAP'!A:I,9,FALSE)</f>
        <v>#N/A</v>
      </c>
      <c r="W238" s="464" t="s">
        <v>234</v>
      </c>
      <c r="X238" s="466">
        <v>0</v>
      </c>
      <c r="Y238" s="464">
        <f>Tabla13[[#This Row],[ID]]</f>
        <v>227</v>
      </c>
    </row>
    <row r="239" spans="1:25" s="464" customFormat="1" ht="36" x14ac:dyDescent="0.25">
      <c r="A239" s="453">
        <v>228</v>
      </c>
      <c r="B239" s="454" t="s">
        <v>2310</v>
      </c>
      <c r="C239" s="469" t="s">
        <v>2311</v>
      </c>
      <c r="D239" s="456" t="s">
        <v>248</v>
      </c>
      <c r="E239" s="457" t="s">
        <v>2312</v>
      </c>
      <c r="F239" s="458">
        <v>1</v>
      </c>
      <c r="G239" s="454" t="s">
        <v>247</v>
      </c>
      <c r="H239" s="460"/>
      <c r="I239" s="460" t="s">
        <v>251</v>
      </c>
      <c r="J239" s="460"/>
      <c r="K239" s="460" t="s">
        <v>1533</v>
      </c>
      <c r="L239" s="460">
        <v>60004987</v>
      </c>
      <c r="M239" s="461">
        <v>45615</v>
      </c>
      <c r="N239" s="461" t="s">
        <v>253</v>
      </c>
      <c r="O239" s="516" t="s">
        <v>2313</v>
      </c>
      <c r="P239" s="463" t="str">
        <f>IF(LEFT(B239,5)="09735",
    IF(ISNA(VLOOKUP(Tabla13[[#This Row],[Apoyo]],'LM SAP'!A:G,1,FALSE)),
        "No Disponible",
        IF(VLOOKUP(Tabla13[[#This Row],[Apoyo]],'LM SAP'!A:AD,9,FALSE)="RR",
            "Disponible",
            "Firmas SAP"
        )
    ),
    "CONSULTAR"
)</f>
        <v>No Disponible</v>
      </c>
      <c r="Q239" s="460" t="str">
        <f>MID(Tabla13[[#This Row],[Código Indra]],1,13)</f>
        <v>0973544330101</v>
      </c>
      <c r="R239" s="464" t="str">
        <f>IF(ISNA(VLOOKUP(Tabla13[[#This Row],[Código Indra]],#REF!,1,FALSE)),"NO", "SI")</f>
        <v>SI</v>
      </c>
      <c r="S239" s="460" t="str">
        <f>IF(ISNA(VLOOKUP(Tabla13[[#This Row],[Código Indra]],Tabla132[[Código INDRA]:[Nombre]],1,FALSE)),"NO", "SI")</f>
        <v>NO</v>
      </c>
      <c r="T239" s="465" t="s">
        <v>2005</v>
      </c>
      <c r="U239" s="464" t="s">
        <v>256</v>
      </c>
      <c r="V239" s="464" t="e">
        <f>VLOOKUP(Tabla13[[#This Row],[Apoyo]],'LM SAP'!A:I,9,FALSE)</f>
        <v>#N/A</v>
      </c>
      <c r="X239" s="466">
        <v>0</v>
      </c>
      <c r="Y239" s="464">
        <f>Tabla13[[#This Row],[ID]]</f>
        <v>228</v>
      </c>
    </row>
    <row r="240" spans="1:25" s="464" customFormat="1" ht="36" x14ac:dyDescent="0.25">
      <c r="A240" s="453">
        <v>229</v>
      </c>
      <c r="B240" s="454" t="s">
        <v>2314</v>
      </c>
      <c r="C240" s="469" t="s">
        <v>2315</v>
      </c>
      <c r="D240" s="456" t="s">
        <v>248</v>
      </c>
      <c r="E240" s="457" t="s">
        <v>2316</v>
      </c>
      <c r="F240" s="458">
        <v>1</v>
      </c>
      <c r="G240" s="454" t="s">
        <v>247</v>
      </c>
      <c r="H240" s="460"/>
      <c r="I240" s="460" t="s">
        <v>251</v>
      </c>
      <c r="J240" s="460"/>
      <c r="K240" s="460" t="s">
        <v>1533</v>
      </c>
      <c r="L240" s="460">
        <v>60004987</v>
      </c>
      <c r="M240" s="461">
        <v>45615</v>
      </c>
      <c r="N240" s="461" t="s">
        <v>253</v>
      </c>
      <c r="O240" s="516" t="s">
        <v>2313</v>
      </c>
      <c r="P240" s="463" t="str">
        <f>IF(LEFT(B240,5)="09735",
    IF(ISNA(VLOOKUP(Tabla13[[#This Row],[Apoyo]],'LM SAP'!A:G,1,FALSE)),
        "No Disponible",
        IF(VLOOKUP(Tabla13[[#This Row],[Apoyo]],'LM SAP'!A:AD,9,FALSE)="RR",
            "Disponible",
            "Firmas SAP"
        )
    ),
    "CONSULTAR"
)</f>
        <v>No Disponible</v>
      </c>
      <c r="Q240" s="460" t="str">
        <f>MID(Tabla13[[#This Row],[Código Indra]],1,13)</f>
        <v>0973544330102</v>
      </c>
      <c r="R240" s="464" t="str">
        <f>IF(ISNA(VLOOKUP(Tabla13[[#This Row],[Código Indra]],#REF!,1,FALSE)),"NO", "SI")</f>
        <v>SI</v>
      </c>
      <c r="S240" s="460" t="str">
        <f>IF(ISNA(VLOOKUP(Tabla13[[#This Row],[Código Indra]],Tabla132[[Código INDRA]:[Nombre]],1,FALSE)),"NO", "SI")</f>
        <v>NO</v>
      </c>
      <c r="T240" s="465" t="s">
        <v>2005</v>
      </c>
      <c r="U240" s="464" t="s">
        <v>256</v>
      </c>
      <c r="V240" s="464" t="e">
        <f>VLOOKUP(Tabla13[[#This Row],[Apoyo]],'LM SAP'!A:I,9,FALSE)</f>
        <v>#N/A</v>
      </c>
      <c r="X240" s="466">
        <v>0</v>
      </c>
      <c r="Y240" s="464">
        <f>Tabla13[[#This Row],[ID]]</f>
        <v>229</v>
      </c>
    </row>
    <row r="241" spans="1:25" s="464" customFormat="1" ht="36" x14ac:dyDescent="0.25">
      <c r="A241" s="453">
        <v>230</v>
      </c>
      <c r="B241" s="454" t="s">
        <v>2317</v>
      </c>
      <c r="C241" s="469" t="s">
        <v>2318</v>
      </c>
      <c r="D241" s="456" t="s">
        <v>248</v>
      </c>
      <c r="E241" s="457" t="s">
        <v>2319</v>
      </c>
      <c r="F241" s="458">
        <v>1</v>
      </c>
      <c r="G241" s="514" t="s">
        <v>247</v>
      </c>
      <c r="H241" s="460"/>
      <c r="I241" s="460" t="s">
        <v>251</v>
      </c>
      <c r="J241" s="460"/>
      <c r="K241" s="460" t="s">
        <v>1533</v>
      </c>
      <c r="L241" s="460">
        <v>60004987</v>
      </c>
      <c r="M241" s="461">
        <v>45615</v>
      </c>
      <c r="N241" s="461" t="s">
        <v>253</v>
      </c>
      <c r="O241" s="516" t="s">
        <v>2313</v>
      </c>
      <c r="P241" s="463" t="str">
        <f>IF(LEFT(B241,5)="09735",
    IF(ISNA(VLOOKUP(Tabla13[[#This Row],[Apoyo]],'LM SAP'!A:G,1,FALSE)),
        "No Disponible",
        IF(VLOOKUP(Tabla13[[#This Row],[Apoyo]],'LM SAP'!A:AD,9,FALSE)="RR",
            "Disponible",
            "Firmas SAP"
        )
    ),
    "CONSULTAR"
)</f>
        <v>No Disponible</v>
      </c>
      <c r="Q241" s="460" t="str">
        <f>MID(Tabla13[[#This Row],[Código Indra]],1,13)</f>
        <v>0973544330103</v>
      </c>
      <c r="R241" s="464" t="str">
        <f>IF(ISNA(VLOOKUP(Tabla13[[#This Row],[Código Indra]],#REF!,1,FALSE)),"NO", "SI")</f>
        <v>SI</v>
      </c>
      <c r="S241" s="460" t="str">
        <f>IF(ISNA(VLOOKUP(Tabla13[[#This Row],[Código Indra]],Tabla132[[Código INDRA]:[Nombre]],1,FALSE)),"NO", "SI")</f>
        <v>NO</v>
      </c>
      <c r="T241" s="465" t="s">
        <v>2005</v>
      </c>
      <c r="U241" s="464" t="s">
        <v>256</v>
      </c>
      <c r="V241" s="464" t="e">
        <f>VLOOKUP(Tabla13[[#This Row],[Apoyo]],'LM SAP'!A:I,9,FALSE)</f>
        <v>#N/A</v>
      </c>
      <c r="X241" s="466">
        <v>0</v>
      </c>
      <c r="Y241" s="464">
        <f>Tabla13[[#This Row],[ID]]</f>
        <v>230</v>
      </c>
    </row>
    <row r="242" spans="1:25" s="464" customFormat="1" ht="36" x14ac:dyDescent="0.25">
      <c r="A242" s="453">
        <v>231</v>
      </c>
      <c r="B242" s="454" t="s">
        <v>2320</v>
      </c>
      <c r="C242" s="469" t="s">
        <v>2321</v>
      </c>
      <c r="D242" s="456" t="s">
        <v>248</v>
      </c>
      <c r="E242" s="457" t="s">
        <v>2322</v>
      </c>
      <c r="F242" s="458">
        <v>1</v>
      </c>
      <c r="G242" s="454" t="s">
        <v>247</v>
      </c>
      <c r="H242" s="460"/>
      <c r="I242" s="460" t="s">
        <v>251</v>
      </c>
      <c r="J242" s="460"/>
      <c r="K242" s="460" t="s">
        <v>1533</v>
      </c>
      <c r="L242" s="460">
        <v>60004987</v>
      </c>
      <c r="M242" s="461">
        <v>45615</v>
      </c>
      <c r="N242" s="461" t="s">
        <v>253</v>
      </c>
      <c r="O242" s="516" t="s">
        <v>2313</v>
      </c>
      <c r="P242" s="463" t="str">
        <f>IF(LEFT(B242,5)="09735",
    IF(ISNA(VLOOKUP(Tabla13[[#This Row],[Apoyo]],'LM SAP'!A:G,1,FALSE)),
        "No Disponible",
        IF(VLOOKUP(Tabla13[[#This Row],[Apoyo]],'LM SAP'!A:AD,9,FALSE)="RR",
            "Disponible",
            "Firmas SAP"
        )
    ),
    "CONSULTAR"
)</f>
        <v>No Disponible</v>
      </c>
      <c r="Q242" s="460" t="str">
        <f>MID(Tabla13[[#This Row],[Código Indra]],1,13)</f>
        <v>0973544330104</v>
      </c>
      <c r="R242" s="464" t="str">
        <f>IF(ISNA(VLOOKUP(Tabla13[[#This Row],[Código Indra]],#REF!,1,FALSE)),"NO", "SI")</f>
        <v>SI</v>
      </c>
      <c r="S242" s="460" t="str">
        <f>IF(ISNA(VLOOKUP(Tabla13[[#This Row],[Código Indra]],Tabla132[[Código INDRA]:[Nombre]],1,FALSE)),"NO", "SI")</f>
        <v>NO</v>
      </c>
      <c r="T242" s="465" t="s">
        <v>2005</v>
      </c>
      <c r="U242" s="464" t="s">
        <v>256</v>
      </c>
      <c r="V242" s="464" t="e">
        <f>VLOOKUP(Tabla13[[#This Row],[Apoyo]],'LM SAP'!A:I,9,FALSE)</f>
        <v>#N/A</v>
      </c>
      <c r="X242" s="466">
        <v>0</v>
      </c>
      <c r="Y242" s="464">
        <f>Tabla13[[#This Row],[ID]]</f>
        <v>231</v>
      </c>
    </row>
    <row r="243" spans="1:25" s="464" customFormat="1" ht="36" x14ac:dyDescent="0.25">
      <c r="A243" s="453">
        <v>232</v>
      </c>
      <c r="B243" s="454" t="s">
        <v>2323</v>
      </c>
      <c r="C243" s="469" t="s">
        <v>2324</v>
      </c>
      <c r="D243" s="456" t="s">
        <v>248</v>
      </c>
      <c r="E243" s="457" t="s">
        <v>2325</v>
      </c>
      <c r="F243" s="458">
        <v>1</v>
      </c>
      <c r="G243" s="454" t="s">
        <v>247</v>
      </c>
      <c r="H243" s="460"/>
      <c r="I243" s="460" t="s">
        <v>251</v>
      </c>
      <c r="J243" s="460"/>
      <c r="K243" s="460" t="s">
        <v>1533</v>
      </c>
      <c r="L243" s="460">
        <v>60004987</v>
      </c>
      <c r="M243" s="461">
        <v>45615</v>
      </c>
      <c r="N243" s="461" t="s">
        <v>253</v>
      </c>
      <c r="O243" s="516" t="s">
        <v>2313</v>
      </c>
      <c r="P243" s="463" t="str">
        <f>IF(LEFT(B243,5)="09735",
    IF(ISNA(VLOOKUP(Tabla13[[#This Row],[Apoyo]],'LM SAP'!A:G,1,FALSE)),
        "No Disponible",
        IF(VLOOKUP(Tabla13[[#This Row],[Apoyo]],'LM SAP'!A:AD,9,FALSE)="RR",
            "Disponible",
            "Firmas SAP"
        )
    ),
    "CONSULTAR"
)</f>
        <v>No Disponible</v>
      </c>
      <c r="Q243" s="460" t="str">
        <f>MID(Tabla13[[#This Row],[Código Indra]],1,13)</f>
        <v>0973544330105</v>
      </c>
      <c r="R243" s="464" t="str">
        <f>IF(ISNA(VLOOKUP(Tabla13[[#This Row],[Código Indra]],#REF!,1,FALSE)),"NO", "SI")</f>
        <v>SI</v>
      </c>
      <c r="S243" s="460" t="str">
        <f>IF(ISNA(VLOOKUP(Tabla13[[#This Row],[Código Indra]],Tabla132[[Código INDRA]:[Nombre]],1,FALSE)),"NO", "SI")</f>
        <v>NO</v>
      </c>
      <c r="T243" s="465" t="s">
        <v>2005</v>
      </c>
      <c r="U243" s="464" t="s">
        <v>256</v>
      </c>
      <c r="V243" s="464" t="e">
        <f>VLOOKUP(Tabla13[[#This Row],[Apoyo]],'LM SAP'!A:I,9,FALSE)</f>
        <v>#N/A</v>
      </c>
      <c r="X243" s="466">
        <v>0</v>
      </c>
      <c r="Y243" s="464">
        <f>Tabla13[[#This Row],[ID]]</f>
        <v>232</v>
      </c>
    </row>
    <row r="244" spans="1:25" s="464" customFormat="1" ht="36" x14ac:dyDescent="0.25">
      <c r="A244" s="453">
        <v>233</v>
      </c>
      <c r="B244" s="454" t="s">
        <v>2326</v>
      </c>
      <c r="C244" s="469" t="s">
        <v>2327</v>
      </c>
      <c r="D244" s="456" t="s">
        <v>248</v>
      </c>
      <c r="E244" s="457" t="s">
        <v>2328</v>
      </c>
      <c r="F244" s="458">
        <v>1</v>
      </c>
      <c r="G244" s="454" t="s">
        <v>247</v>
      </c>
      <c r="H244" s="460"/>
      <c r="I244" s="460" t="s">
        <v>251</v>
      </c>
      <c r="J244" s="460"/>
      <c r="K244" s="460" t="s">
        <v>1533</v>
      </c>
      <c r="L244" s="460">
        <v>60004987</v>
      </c>
      <c r="M244" s="461">
        <v>45615</v>
      </c>
      <c r="N244" s="461" t="s">
        <v>253</v>
      </c>
      <c r="O244" s="516" t="s">
        <v>2313</v>
      </c>
      <c r="P244" s="463" t="str">
        <f>IF(LEFT(B244,5)="09735",
    IF(ISNA(VLOOKUP(Tabla13[[#This Row],[Apoyo]],'LM SAP'!A:G,1,FALSE)),
        "No Disponible",
        IF(VLOOKUP(Tabla13[[#This Row],[Apoyo]],'LM SAP'!A:AD,9,FALSE)="RR",
            "Disponible",
            "Firmas SAP"
        )
    ),
    "CONSULTAR"
)</f>
        <v>No Disponible</v>
      </c>
      <c r="Q244" s="460" t="str">
        <f>MID(Tabla13[[#This Row],[Código Indra]],1,13)</f>
        <v>0973544330106</v>
      </c>
      <c r="R244" s="464" t="str">
        <f>IF(ISNA(VLOOKUP(Tabla13[[#This Row],[Código Indra]],#REF!,1,FALSE)),"NO", "SI")</f>
        <v>SI</v>
      </c>
      <c r="S244" s="460" t="str">
        <f>IF(ISNA(VLOOKUP(Tabla13[[#This Row],[Código Indra]],Tabla132[[Código INDRA]:[Nombre]],1,FALSE)),"NO", "SI")</f>
        <v>NO</v>
      </c>
      <c r="T244" s="465" t="s">
        <v>2005</v>
      </c>
      <c r="U244" s="464" t="s">
        <v>256</v>
      </c>
      <c r="V244" s="464" t="e">
        <f>VLOOKUP(Tabla13[[#This Row],[Apoyo]],'LM SAP'!A:I,9,FALSE)</f>
        <v>#N/A</v>
      </c>
      <c r="X244" s="466">
        <v>0</v>
      </c>
      <c r="Y244" s="464">
        <f>Tabla13[[#This Row],[ID]]</f>
        <v>233</v>
      </c>
    </row>
    <row r="245" spans="1:25" s="464" customFormat="1" ht="36" x14ac:dyDescent="0.25">
      <c r="A245" s="453">
        <v>234</v>
      </c>
      <c r="B245" s="454">
        <v>973544330107</v>
      </c>
      <c r="C245" s="469" t="s">
        <v>2329</v>
      </c>
      <c r="D245" s="456" t="s">
        <v>248</v>
      </c>
      <c r="E245" s="457" t="s">
        <v>2330</v>
      </c>
      <c r="F245" s="458">
        <v>1</v>
      </c>
      <c r="G245" s="454" t="s">
        <v>247</v>
      </c>
      <c r="H245" s="460"/>
      <c r="I245" s="460" t="s">
        <v>251</v>
      </c>
      <c r="J245" s="460"/>
      <c r="K245" s="460" t="s">
        <v>1533</v>
      </c>
      <c r="L245" s="460">
        <v>60004987</v>
      </c>
      <c r="M245" s="461">
        <v>45615</v>
      </c>
      <c r="N245" s="461" t="s">
        <v>253</v>
      </c>
      <c r="O245" s="516" t="s">
        <v>2313</v>
      </c>
      <c r="P245" s="463" t="str">
        <f>IF(LEFT(B245,5)="09735",
    IF(ISNA(VLOOKUP(Tabla13[[#This Row],[Apoyo]],'LM SAP'!A:G,1,FALSE)),
        "No Disponible",
        IF(VLOOKUP(Tabla13[[#This Row],[Apoyo]],'LM SAP'!A:AD,9,FALSE)="RR",
            "Disponible",
            "Firmas SAP"
        )
    ),
    "CONSULTAR"
)</f>
        <v>CONSULTAR</v>
      </c>
      <c r="Q245" s="460" t="str">
        <f>MID(Tabla13[[#This Row],[Código Indra]],1,13)</f>
        <v>973544330107</v>
      </c>
      <c r="R245" s="464" t="str">
        <f>IF(ISNA(VLOOKUP(Tabla13[[#This Row],[Código Indra]],#REF!,1,FALSE)),"NO", "SI")</f>
        <v>SI</v>
      </c>
      <c r="S245" s="460" t="str">
        <f>IF(ISNA(VLOOKUP(Tabla13[[#This Row],[Código Indra]],Tabla132[[Código INDRA]:[Nombre]],1,FALSE)),"NO", "SI")</f>
        <v>NO</v>
      </c>
      <c r="T245" s="465" t="s">
        <v>2005</v>
      </c>
      <c r="U245" s="464" t="s">
        <v>256</v>
      </c>
      <c r="V245" s="464" t="e">
        <f>VLOOKUP(Tabla13[[#This Row],[Apoyo]],'LM SAP'!A:I,9,FALSE)</f>
        <v>#N/A</v>
      </c>
      <c r="X245" s="466">
        <v>0</v>
      </c>
      <c r="Y245" s="464">
        <f>Tabla13[[#This Row],[ID]]</f>
        <v>234</v>
      </c>
    </row>
    <row r="246" spans="1:25" s="464" customFormat="1" ht="36" x14ac:dyDescent="0.25">
      <c r="A246" s="453">
        <v>235</v>
      </c>
      <c r="B246" s="454" t="s">
        <v>2331</v>
      </c>
      <c r="C246" s="469" t="s">
        <v>2332</v>
      </c>
      <c r="D246" s="456" t="s">
        <v>248</v>
      </c>
      <c r="E246" s="457" t="s">
        <v>2333</v>
      </c>
      <c r="F246" s="458">
        <v>1</v>
      </c>
      <c r="G246" s="454" t="s">
        <v>247</v>
      </c>
      <c r="H246" s="460"/>
      <c r="I246" s="460" t="s">
        <v>251</v>
      </c>
      <c r="J246" s="460"/>
      <c r="K246" s="460" t="s">
        <v>1533</v>
      </c>
      <c r="L246" s="460">
        <v>60004987</v>
      </c>
      <c r="M246" s="461">
        <v>45615</v>
      </c>
      <c r="N246" s="461" t="s">
        <v>253</v>
      </c>
      <c r="O246" s="516" t="s">
        <v>2313</v>
      </c>
      <c r="P246" s="463" t="str">
        <f>IF(LEFT(B246,5)="09735",
    IF(ISNA(VLOOKUP(Tabla13[[#This Row],[Apoyo]],'LM SAP'!A:G,1,FALSE)),
        "No Disponible",
        IF(VLOOKUP(Tabla13[[#This Row],[Apoyo]],'LM SAP'!A:AD,9,FALSE)="RR",
            "Disponible",
            "Firmas SAP"
        )
    ),
    "CONSULTAR"
)</f>
        <v>No Disponible</v>
      </c>
      <c r="Q246" s="460" t="str">
        <f>MID(Tabla13[[#This Row],[Código Indra]],1,13)</f>
        <v>0973544330108</v>
      </c>
      <c r="R246" s="464" t="str">
        <f>IF(ISNA(VLOOKUP(Tabla13[[#This Row],[Código Indra]],#REF!,1,FALSE)),"NO", "SI")</f>
        <v>SI</v>
      </c>
      <c r="S246" s="460" t="str">
        <f>IF(ISNA(VLOOKUP(Tabla13[[#This Row],[Código Indra]],Tabla132[[Código INDRA]:[Nombre]],1,FALSE)),"NO", "SI")</f>
        <v>NO</v>
      </c>
      <c r="T246" s="465" t="s">
        <v>2005</v>
      </c>
      <c r="U246" s="464" t="s">
        <v>256</v>
      </c>
      <c r="V246" s="464" t="e">
        <f>VLOOKUP(Tabla13[[#This Row],[Apoyo]],'LM SAP'!A:I,9,FALSE)</f>
        <v>#N/A</v>
      </c>
      <c r="X246" s="466">
        <v>0</v>
      </c>
      <c r="Y246" s="464">
        <f>Tabla13[[#This Row],[ID]]</f>
        <v>235</v>
      </c>
    </row>
    <row r="247" spans="1:25" s="464" customFormat="1" ht="36" x14ac:dyDescent="0.25">
      <c r="A247" s="453">
        <v>236</v>
      </c>
      <c r="B247" s="454" t="s">
        <v>2334</v>
      </c>
      <c r="C247" s="469" t="s">
        <v>2335</v>
      </c>
      <c r="D247" s="456" t="s">
        <v>248</v>
      </c>
      <c r="E247" s="457" t="s">
        <v>2336</v>
      </c>
      <c r="F247" s="458">
        <v>1</v>
      </c>
      <c r="G247" s="454" t="s">
        <v>247</v>
      </c>
      <c r="H247" s="460"/>
      <c r="I247" s="460" t="s">
        <v>251</v>
      </c>
      <c r="J247" s="460"/>
      <c r="K247" s="460" t="s">
        <v>1533</v>
      </c>
      <c r="L247" s="460">
        <v>60004987</v>
      </c>
      <c r="M247" s="461">
        <v>45615</v>
      </c>
      <c r="N247" s="461" t="s">
        <v>253</v>
      </c>
      <c r="O247" s="516" t="s">
        <v>2313</v>
      </c>
      <c r="P247" s="463" t="str">
        <f>IF(LEFT(B247,5)="09735",
    IF(ISNA(VLOOKUP(Tabla13[[#This Row],[Apoyo]],'LM SAP'!A:G,1,FALSE)),
        "No Disponible",
        IF(VLOOKUP(Tabla13[[#This Row],[Apoyo]],'LM SAP'!A:AD,9,FALSE)="RR",
            "Disponible",
            "Firmas SAP"
        )
    ),
    "CONSULTAR"
)</f>
        <v>No Disponible</v>
      </c>
      <c r="Q247" s="460" t="str">
        <f>MID(Tabla13[[#This Row],[Código Indra]],1,13)</f>
        <v>0973544330109</v>
      </c>
      <c r="R247" s="464" t="str">
        <f>IF(ISNA(VLOOKUP(Tabla13[[#This Row],[Código Indra]],#REF!,1,FALSE)),"NO", "SI")</f>
        <v>SI</v>
      </c>
      <c r="S247" s="460" t="str">
        <f>IF(ISNA(VLOOKUP(Tabla13[[#This Row],[Código Indra]],Tabla132[[Código INDRA]:[Nombre]],1,FALSE)),"NO", "SI")</f>
        <v>NO</v>
      </c>
      <c r="T247" s="465" t="s">
        <v>2005</v>
      </c>
      <c r="U247" s="464" t="s">
        <v>256</v>
      </c>
      <c r="V247" s="464" t="e">
        <f>VLOOKUP(Tabla13[[#This Row],[Apoyo]],'LM SAP'!A:I,9,FALSE)</f>
        <v>#N/A</v>
      </c>
      <c r="X247" s="466">
        <v>0</v>
      </c>
      <c r="Y247" s="464">
        <f>Tabla13[[#This Row],[ID]]</f>
        <v>236</v>
      </c>
    </row>
    <row r="248" spans="1:25" s="464" customFormat="1" ht="36" x14ac:dyDescent="0.25">
      <c r="A248" s="453">
        <v>237</v>
      </c>
      <c r="B248" s="454" t="s">
        <v>2337</v>
      </c>
      <c r="C248" s="469" t="s">
        <v>1076</v>
      </c>
      <c r="D248" s="456" t="s">
        <v>248</v>
      </c>
      <c r="E248" s="457" t="s">
        <v>2338</v>
      </c>
      <c r="F248" s="458">
        <v>1</v>
      </c>
      <c r="G248" s="454" t="s">
        <v>247</v>
      </c>
      <c r="H248" s="460"/>
      <c r="I248" s="460" t="s">
        <v>251</v>
      </c>
      <c r="J248" s="460"/>
      <c r="K248" s="460" t="s">
        <v>1533</v>
      </c>
      <c r="L248" s="460">
        <v>60004987</v>
      </c>
      <c r="M248" s="461">
        <v>45615</v>
      </c>
      <c r="N248" s="461" t="s">
        <v>253</v>
      </c>
      <c r="O248" s="516" t="s">
        <v>2313</v>
      </c>
      <c r="P248" s="463" t="str">
        <f>IF(LEFT(B248,5)="09735",
    IF(ISNA(VLOOKUP(Tabla13[[#This Row],[Apoyo]],'LM SAP'!A:G,1,FALSE)),
        "No Disponible",
        IF(VLOOKUP(Tabla13[[#This Row],[Apoyo]],'LM SAP'!A:AD,9,FALSE)="RR",
            "Disponible",
            "Firmas SAP"
        )
    ),
    "CONSULTAR"
)</f>
        <v>No Disponible</v>
      </c>
      <c r="Q248" s="460" t="str">
        <f>MID(Tabla13[[#This Row],[Código Indra]],1,13)</f>
        <v>0973544330110</v>
      </c>
      <c r="R248" s="464" t="str">
        <f>IF(ISNA(VLOOKUP(Tabla13[[#This Row],[Código Indra]],#REF!,1,FALSE)),"NO", "SI")</f>
        <v>SI</v>
      </c>
      <c r="S248" s="460" t="str">
        <f>IF(ISNA(VLOOKUP(Tabla13[[#This Row],[Código Indra]],Tabla132[[Código INDRA]:[Nombre]],1,FALSE)),"NO", "SI")</f>
        <v>NO</v>
      </c>
      <c r="T248" s="465" t="s">
        <v>2005</v>
      </c>
      <c r="U248" s="464" t="s">
        <v>256</v>
      </c>
      <c r="V248" s="464" t="e">
        <f>VLOOKUP(Tabla13[[#This Row],[Apoyo]],'LM SAP'!A:I,9,FALSE)</f>
        <v>#N/A</v>
      </c>
      <c r="X248" s="466">
        <v>0</v>
      </c>
      <c r="Y248" s="464">
        <f>Tabla13[[#This Row],[ID]]</f>
        <v>237</v>
      </c>
    </row>
    <row r="249" spans="1:25" s="464" customFormat="1" ht="36" x14ac:dyDescent="0.25">
      <c r="A249" s="453">
        <v>238</v>
      </c>
      <c r="B249" s="454" t="s">
        <v>2339</v>
      </c>
      <c r="C249" s="469" t="s">
        <v>2340</v>
      </c>
      <c r="D249" s="456" t="s">
        <v>248</v>
      </c>
      <c r="E249" s="457" t="s">
        <v>2341</v>
      </c>
      <c r="F249" s="458">
        <v>1</v>
      </c>
      <c r="G249" s="454" t="s">
        <v>247</v>
      </c>
      <c r="H249" s="460"/>
      <c r="I249" s="460" t="s">
        <v>251</v>
      </c>
      <c r="J249" s="460"/>
      <c r="K249" s="460" t="s">
        <v>1533</v>
      </c>
      <c r="L249" s="460">
        <v>60004987</v>
      </c>
      <c r="M249" s="461">
        <v>45615</v>
      </c>
      <c r="N249" s="461" t="s">
        <v>253</v>
      </c>
      <c r="O249" s="516" t="s">
        <v>2313</v>
      </c>
      <c r="P249" s="463" t="str">
        <f>IF(LEFT(B249,5)="09735",
    IF(ISNA(VLOOKUP(Tabla13[[#This Row],[Apoyo]],'LM SAP'!A:G,1,FALSE)),
        "No Disponible",
        IF(VLOOKUP(Tabla13[[#This Row],[Apoyo]],'LM SAP'!A:AD,9,FALSE)="RR",
            "Disponible",
            "Firmas SAP"
        )
    ),
    "CONSULTAR"
)</f>
        <v>No Disponible</v>
      </c>
      <c r="Q249" s="460" t="str">
        <f>MID(Tabla13[[#This Row],[Código Indra]],1,13)</f>
        <v>0973544330111</v>
      </c>
      <c r="R249" s="464" t="str">
        <f>IF(ISNA(VLOOKUP(Tabla13[[#This Row],[Código Indra]],#REF!,1,FALSE)),"NO", "SI")</f>
        <v>SI</v>
      </c>
      <c r="S249" s="460" t="str">
        <f>IF(ISNA(VLOOKUP(Tabla13[[#This Row],[Código Indra]],Tabla132[[Código INDRA]:[Nombre]],1,FALSE)),"NO", "SI")</f>
        <v>NO</v>
      </c>
      <c r="T249" s="465" t="s">
        <v>2005</v>
      </c>
      <c r="U249" s="464" t="s">
        <v>256</v>
      </c>
      <c r="V249" s="464" t="e">
        <f>VLOOKUP(Tabla13[[#This Row],[Apoyo]],'LM SAP'!A:I,9,FALSE)</f>
        <v>#N/A</v>
      </c>
      <c r="X249" s="466">
        <v>0</v>
      </c>
      <c r="Y249" s="464">
        <f>Tabla13[[#This Row],[ID]]</f>
        <v>238</v>
      </c>
    </row>
    <row r="250" spans="1:25" s="464" customFormat="1" ht="36" x14ac:dyDescent="0.25">
      <c r="A250" s="453">
        <v>239</v>
      </c>
      <c r="B250" s="454" t="s">
        <v>2342</v>
      </c>
      <c r="C250" s="469" t="s">
        <v>2343</v>
      </c>
      <c r="D250" s="456" t="s">
        <v>248</v>
      </c>
      <c r="E250" s="457" t="s">
        <v>2344</v>
      </c>
      <c r="F250" s="458">
        <v>1</v>
      </c>
      <c r="G250" s="454" t="s">
        <v>247</v>
      </c>
      <c r="H250" s="460"/>
      <c r="I250" s="460" t="s">
        <v>251</v>
      </c>
      <c r="J250" s="460"/>
      <c r="K250" s="460" t="s">
        <v>1533</v>
      </c>
      <c r="L250" s="460">
        <v>60004987</v>
      </c>
      <c r="M250" s="461">
        <v>45615</v>
      </c>
      <c r="N250" s="461" t="s">
        <v>253</v>
      </c>
      <c r="O250" s="516" t="s">
        <v>2313</v>
      </c>
      <c r="P250" s="463" t="str">
        <f>IF(LEFT(B250,5)="09735",
    IF(ISNA(VLOOKUP(Tabla13[[#This Row],[Apoyo]],'LM SAP'!A:G,1,FALSE)),
        "No Disponible",
        IF(VLOOKUP(Tabla13[[#This Row],[Apoyo]],'LM SAP'!A:AD,9,FALSE)="RR",
            "Disponible",
            "Firmas SAP"
        )
    ),
    "CONSULTAR"
)</f>
        <v>No Disponible</v>
      </c>
      <c r="Q250" s="460" t="str">
        <f>MID(Tabla13[[#This Row],[Código Indra]],1,13)</f>
        <v>0973544330112</v>
      </c>
      <c r="R250" s="464" t="str">
        <f>IF(ISNA(VLOOKUP(Tabla13[[#This Row],[Código Indra]],#REF!,1,FALSE)),"NO", "SI")</f>
        <v>SI</v>
      </c>
      <c r="S250" s="460" t="str">
        <f>IF(ISNA(VLOOKUP(Tabla13[[#This Row],[Código Indra]],Tabla132[[Código INDRA]:[Nombre]],1,FALSE)),"NO", "SI")</f>
        <v>NO</v>
      </c>
      <c r="T250" s="465" t="s">
        <v>2005</v>
      </c>
      <c r="U250" s="464" t="s">
        <v>256</v>
      </c>
      <c r="V250" s="464" t="e">
        <f>VLOOKUP(Tabla13[[#This Row],[Apoyo]],'LM SAP'!A:I,9,FALSE)</f>
        <v>#N/A</v>
      </c>
      <c r="X250" s="466">
        <v>0</v>
      </c>
      <c r="Y250" s="464">
        <f>Tabla13[[#This Row],[ID]]</f>
        <v>239</v>
      </c>
    </row>
    <row r="251" spans="1:25" s="464" customFormat="1" ht="36" x14ac:dyDescent="0.25">
      <c r="A251" s="453">
        <v>240</v>
      </c>
      <c r="B251" s="454" t="s">
        <v>2345</v>
      </c>
      <c r="C251" s="469" t="s">
        <v>2346</v>
      </c>
      <c r="D251" s="456" t="s">
        <v>248</v>
      </c>
      <c r="E251" s="457" t="s">
        <v>2347</v>
      </c>
      <c r="F251" s="458">
        <v>1</v>
      </c>
      <c r="G251" s="454" t="s">
        <v>247</v>
      </c>
      <c r="H251" s="460"/>
      <c r="I251" s="460" t="s">
        <v>251</v>
      </c>
      <c r="J251" s="460"/>
      <c r="K251" s="460" t="s">
        <v>1533</v>
      </c>
      <c r="L251" s="460">
        <v>60004987</v>
      </c>
      <c r="M251" s="461">
        <v>45615</v>
      </c>
      <c r="N251" s="461" t="s">
        <v>253</v>
      </c>
      <c r="O251" s="516" t="s">
        <v>2313</v>
      </c>
      <c r="P251" s="463" t="str">
        <f>IF(LEFT(B251,5)="09735",
    IF(ISNA(VLOOKUP(Tabla13[[#This Row],[Apoyo]],'LM SAP'!A:G,1,FALSE)),
        "No Disponible",
        IF(VLOOKUP(Tabla13[[#This Row],[Apoyo]],'LM SAP'!A:AD,9,FALSE)="RR",
            "Disponible",
            "Firmas SAP"
        )
    ),
    "CONSULTAR"
)</f>
        <v>No Disponible</v>
      </c>
      <c r="Q251" s="460" t="str">
        <f>MID(Tabla13[[#This Row],[Código Indra]],1,13)</f>
        <v>0973544330113</v>
      </c>
      <c r="R251" s="464" t="str">
        <f>IF(ISNA(VLOOKUP(Tabla13[[#This Row],[Código Indra]],#REF!,1,FALSE)),"NO", "SI")</f>
        <v>SI</v>
      </c>
      <c r="S251" s="460" t="str">
        <f>IF(ISNA(VLOOKUP(Tabla13[[#This Row],[Código Indra]],Tabla132[[Código INDRA]:[Nombre]],1,FALSE)),"NO", "SI")</f>
        <v>NO</v>
      </c>
      <c r="T251" s="465" t="s">
        <v>2005</v>
      </c>
      <c r="U251" s="464" t="s">
        <v>256</v>
      </c>
      <c r="V251" s="464" t="e">
        <f>VLOOKUP(Tabla13[[#This Row],[Apoyo]],'LM SAP'!A:I,9,FALSE)</f>
        <v>#N/A</v>
      </c>
      <c r="X251" s="466">
        <v>0</v>
      </c>
      <c r="Y251" s="464">
        <f>Tabla13[[#This Row],[ID]]</f>
        <v>240</v>
      </c>
    </row>
    <row r="252" spans="1:25" s="464" customFormat="1" ht="36" x14ac:dyDescent="0.25">
      <c r="A252" s="453">
        <v>241</v>
      </c>
      <c r="B252" s="454" t="s">
        <v>2348</v>
      </c>
      <c r="C252" s="469" t="s">
        <v>2349</v>
      </c>
      <c r="D252" s="456" t="s">
        <v>248</v>
      </c>
      <c r="E252" s="457" t="s">
        <v>2350</v>
      </c>
      <c r="F252" s="458">
        <v>1</v>
      </c>
      <c r="G252" s="454" t="s">
        <v>247</v>
      </c>
      <c r="H252" s="460"/>
      <c r="I252" s="460" t="s">
        <v>251</v>
      </c>
      <c r="J252" s="460"/>
      <c r="K252" s="460" t="s">
        <v>1533</v>
      </c>
      <c r="L252" s="460">
        <v>60004987</v>
      </c>
      <c r="M252" s="461">
        <v>45615</v>
      </c>
      <c r="N252" s="461" t="s">
        <v>253</v>
      </c>
      <c r="O252" s="516" t="s">
        <v>2313</v>
      </c>
      <c r="P252" s="463" t="str">
        <f>IF(LEFT(B252,5)="09735",
    IF(ISNA(VLOOKUP(Tabla13[[#This Row],[Apoyo]],'LM SAP'!A:G,1,FALSE)),
        "No Disponible",
        IF(VLOOKUP(Tabla13[[#This Row],[Apoyo]],'LM SAP'!A:AD,9,FALSE)="RR",
            "Disponible",
            "Firmas SAP"
        )
    ),
    "CONSULTAR"
)</f>
        <v>No Disponible</v>
      </c>
      <c r="Q252" s="460" t="str">
        <f>MID(Tabla13[[#This Row],[Código Indra]],1,13)</f>
        <v>0973544330114</v>
      </c>
      <c r="R252" s="464" t="str">
        <f>IF(ISNA(VLOOKUP(Tabla13[[#This Row],[Código Indra]],#REF!,1,FALSE)),"NO", "SI")</f>
        <v>SI</v>
      </c>
      <c r="S252" s="460" t="str">
        <f>IF(ISNA(VLOOKUP(Tabla13[[#This Row],[Código Indra]],Tabla132[[Código INDRA]:[Nombre]],1,FALSE)),"NO", "SI")</f>
        <v>NO</v>
      </c>
      <c r="T252" s="465" t="s">
        <v>2005</v>
      </c>
      <c r="U252" s="464" t="s">
        <v>256</v>
      </c>
      <c r="V252" s="464" t="e">
        <f>VLOOKUP(Tabla13[[#This Row],[Apoyo]],'LM SAP'!A:I,9,FALSE)</f>
        <v>#N/A</v>
      </c>
      <c r="X252" s="466">
        <v>0</v>
      </c>
      <c r="Y252" s="464">
        <f>Tabla13[[#This Row],[ID]]</f>
        <v>241</v>
      </c>
    </row>
    <row r="253" spans="1:25" s="464" customFormat="1" ht="36" x14ac:dyDescent="0.25">
      <c r="A253" s="453">
        <v>242</v>
      </c>
      <c r="B253" s="454" t="s">
        <v>2351</v>
      </c>
      <c r="C253" s="469" t="s">
        <v>2352</v>
      </c>
      <c r="D253" s="456" t="s">
        <v>248</v>
      </c>
      <c r="E253" s="457" t="s">
        <v>2353</v>
      </c>
      <c r="F253" s="458">
        <v>1</v>
      </c>
      <c r="G253" s="454" t="s">
        <v>247</v>
      </c>
      <c r="H253" s="460"/>
      <c r="I253" s="460" t="s">
        <v>251</v>
      </c>
      <c r="J253" s="460"/>
      <c r="K253" s="460" t="s">
        <v>1533</v>
      </c>
      <c r="L253" s="460">
        <v>60004987</v>
      </c>
      <c r="M253" s="461">
        <v>45615</v>
      </c>
      <c r="N253" s="461" t="s">
        <v>253</v>
      </c>
      <c r="O253" s="516" t="s">
        <v>2313</v>
      </c>
      <c r="P253" s="463" t="str">
        <f>IF(LEFT(B253,5)="09735",
    IF(ISNA(VLOOKUP(Tabla13[[#This Row],[Apoyo]],'LM SAP'!A:G,1,FALSE)),
        "No Disponible",
        IF(VLOOKUP(Tabla13[[#This Row],[Apoyo]],'LM SAP'!A:AD,9,FALSE)="RR",
            "Disponible",
            "Firmas SAP"
        )
    ),
    "CONSULTAR"
)</f>
        <v>No Disponible</v>
      </c>
      <c r="Q253" s="460" t="str">
        <f>MID(Tabla13[[#This Row],[Código Indra]],1,13)</f>
        <v>0973544330115</v>
      </c>
      <c r="R253" s="464" t="str">
        <f>IF(ISNA(VLOOKUP(Tabla13[[#This Row],[Código Indra]],#REF!,1,FALSE)),"NO", "SI")</f>
        <v>SI</v>
      </c>
      <c r="S253" s="460" t="str">
        <f>IF(ISNA(VLOOKUP(Tabla13[[#This Row],[Código Indra]],Tabla132[[Código INDRA]:[Nombre]],1,FALSE)),"NO", "SI")</f>
        <v>NO</v>
      </c>
      <c r="T253" s="465" t="s">
        <v>2005</v>
      </c>
      <c r="U253" s="464" t="s">
        <v>256</v>
      </c>
      <c r="V253" s="464" t="e">
        <f>VLOOKUP(Tabla13[[#This Row],[Apoyo]],'LM SAP'!A:I,9,FALSE)</f>
        <v>#N/A</v>
      </c>
      <c r="X253" s="466">
        <v>0</v>
      </c>
      <c r="Y253" s="464">
        <f>Tabla13[[#This Row],[ID]]</f>
        <v>242</v>
      </c>
    </row>
    <row r="254" spans="1:25" s="464" customFormat="1" ht="36" x14ac:dyDescent="0.25">
      <c r="A254" s="453">
        <v>243</v>
      </c>
      <c r="B254" s="454" t="s">
        <v>2354</v>
      </c>
      <c r="C254" s="469" t="s">
        <v>2355</v>
      </c>
      <c r="D254" s="456" t="s">
        <v>248</v>
      </c>
      <c r="E254" s="457" t="s">
        <v>2356</v>
      </c>
      <c r="F254" s="458">
        <v>1</v>
      </c>
      <c r="G254" s="454" t="s">
        <v>247</v>
      </c>
      <c r="H254" s="460"/>
      <c r="I254" s="460" t="s">
        <v>251</v>
      </c>
      <c r="J254" s="460"/>
      <c r="K254" s="460" t="s">
        <v>1533</v>
      </c>
      <c r="L254" s="460">
        <v>60004987</v>
      </c>
      <c r="M254" s="461">
        <v>45615</v>
      </c>
      <c r="N254" s="461" t="s">
        <v>253</v>
      </c>
      <c r="O254" s="516" t="s">
        <v>2313</v>
      </c>
      <c r="P254" s="463" t="str">
        <f>IF(LEFT(B254,5)="09735",
    IF(ISNA(VLOOKUP(Tabla13[[#This Row],[Apoyo]],'LM SAP'!A:G,1,FALSE)),
        "No Disponible",
        IF(VLOOKUP(Tabla13[[#This Row],[Apoyo]],'LM SAP'!A:AD,9,FALSE)="RR",
            "Disponible",
            "Firmas SAP"
        )
    ),
    "CONSULTAR"
)</f>
        <v>No Disponible</v>
      </c>
      <c r="Q254" s="460" t="str">
        <f>MID(Tabla13[[#This Row],[Código Indra]],1,13)</f>
        <v>0973544330116</v>
      </c>
      <c r="R254" s="464" t="str">
        <f>IF(ISNA(VLOOKUP(Tabla13[[#This Row],[Código Indra]],#REF!,1,FALSE)),"NO", "SI")</f>
        <v>SI</v>
      </c>
      <c r="S254" s="460" t="str">
        <f>IF(ISNA(VLOOKUP(Tabla13[[#This Row],[Código Indra]],Tabla132[[Código INDRA]:[Nombre]],1,FALSE)),"NO", "SI")</f>
        <v>NO</v>
      </c>
      <c r="T254" s="465" t="s">
        <v>2005</v>
      </c>
      <c r="U254" s="464" t="s">
        <v>256</v>
      </c>
      <c r="V254" s="464" t="e">
        <f>VLOOKUP(Tabla13[[#This Row],[Apoyo]],'LM SAP'!A:I,9,FALSE)</f>
        <v>#N/A</v>
      </c>
      <c r="X254" s="466">
        <v>0</v>
      </c>
      <c r="Y254" s="464">
        <f>Tabla13[[#This Row],[ID]]</f>
        <v>243</v>
      </c>
    </row>
    <row r="255" spans="1:25" s="464" customFormat="1" ht="36" x14ac:dyDescent="0.25">
      <c r="A255" s="453">
        <v>244</v>
      </c>
      <c r="B255" s="454" t="s">
        <v>2357</v>
      </c>
      <c r="C255" s="469" t="s">
        <v>2358</v>
      </c>
      <c r="D255" s="456" t="s">
        <v>248</v>
      </c>
      <c r="E255" s="457" t="s">
        <v>2359</v>
      </c>
      <c r="F255" s="458">
        <v>1</v>
      </c>
      <c r="G255" s="454" t="s">
        <v>247</v>
      </c>
      <c r="H255" s="460"/>
      <c r="I255" s="460" t="s">
        <v>251</v>
      </c>
      <c r="J255" s="460"/>
      <c r="K255" s="460" t="s">
        <v>1533</v>
      </c>
      <c r="L255" s="460">
        <v>60004987</v>
      </c>
      <c r="M255" s="461">
        <v>45615</v>
      </c>
      <c r="N255" s="461" t="s">
        <v>253</v>
      </c>
      <c r="O255" s="516" t="s">
        <v>2313</v>
      </c>
      <c r="P255" s="463" t="str">
        <f>IF(LEFT(B255,5)="09735",
    IF(ISNA(VLOOKUP(Tabla13[[#This Row],[Apoyo]],'LM SAP'!A:G,1,FALSE)),
        "No Disponible",
        IF(VLOOKUP(Tabla13[[#This Row],[Apoyo]],'LM SAP'!A:AD,9,FALSE)="RR",
            "Disponible",
            "Firmas SAP"
        )
    ),
    "CONSULTAR"
)</f>
        <v>No Disponible</v>
      </c>
      <c r="Q255" s="460" t="str">
        <f>MID(Tabla13[[#This Row],[Código Indra]],1,13)</f>
        <v>0973544330117</v>
      </c>
      <c r="R255" s="464" t="str">
        <f>IF(ISNA(VLOOKUP(Tabla13[[#This Row],[Código Indra]],#REF!,1,FALSE)),"NO", "SI")</f>
        <v>SI</v>
      </c>
      <c r="S255" s="460" t="str">
        <f>IF(ISNA(VLOOKUP(Tabla13[[#This Row],[Código Indra]],Tabla132[[Código INDRA]:[Nombre]],1,FALSE)),"NO", "SI")</f>
        <v>NO</v>
      </c>
      <c r="T255" s="465" t="s">
        <v>2005</v>
      </c>
      <c r="U255" s="464" t="s">
        <v>256</v>
      </c>
      <c r="V255" s="464" t="e">
        <f>VLOOKUP(Tabla13[[#This Row],[Apoyo]],'LM SAP'!A:I,9,FALSE)</f>
        <v>#N/A</v>
      </c>
      <c r="X255" s="466">
        <v>0</v>
      </c>
      <c r="Y255" s="464">
        <f>Tabla13[[#This Row],[ID]]</f>
        <v>244</v>
      </c>
    </row>
    <row r="256" spans="1:25" s="464" customFormat="1" ht="36" x14ac:dyDescent="0.25">
      <c r="A256" s="453">
        <v>245</v>
      </c>
      <c r="B256" s="454" t="s">
        <v>2360</v>
      </c>
      <c r="C256" s="469" t="s">
        <v>2361</v>
      </c>
      <c r="D256" s="456" t="s">
        <v>248</v>
      </c>
      <c r="E256" s="457" t="s">
        <v>2362</v>
      </c>
      <c r="F256" s="458">
        <v>1</v>
      </c>
      <c r="G256" s="454" t="s">
        <v>247</v>
      </c>
      <c r="H256" s="460"/>
      <c r="I256" s="460" t="s">
        <v>251</v>
      </c>
      <c r="J256" s="460"/>
      <c r="K256" s="460" t="s">
        <v>1533</v>
      </c>
      <c r="L256" s="460">
        <v>60004987</v>
      </c>
      <c r="M256" s="461">
        <v>45615</v>
      </c>
      <c r="N256" s="461" t="s">
        <v>253</v>
      </c>
      <c r="O256" s="516" t="s">
        <v>2313</v>
      </c>
      <c r="P256" s="463" t="str">
        <f>IF(LEFT(B256,5)="09735",
    IF(ISNA(VLOOKUP(Tabla13[[#This Row],[Apoyo]],'LM SAP'!A:G,1,FALSE)),
        "No Disponible",
        IF(VLOOKUP(Tabla13[[#This Row],[Apoyo]],'LM SAP'!A:AD,9,FALSE)="RR",
            "Disponible",
            "Firmas SAP"
        )
    ),
    "CONSULTAR"
)</f>
        <v>No Disponible</v>
      </c>
      <c r="Q256" s="460" t="str">
        <f>MID(Tabla13[[#This Row],[Código Indra]],1,13)</f>
        <v>0973544330118</v>
      </c>
      <c r="R256" s="464" t="str">
        <f>IF(ISNA(VLOOKUP(Tabla13[[#This Row],[Código Indra]],#REF!,1,FALSE)),"NO", "SI")</f>
        <v>SI</v>
      </c>
      <c r="S256" s="460" t="str">
        <f>IF(ISNA(VLOOKUP(Tabla13[[#This Row],[Código Indra]],Tabla132[[Código INDRA]:[Nombre]],1,FALSE)),"NO", "SI")</f>
        <v>NO</v>
      </c>
      <c r="T256" s="465" t="s">
        <v>2005</v>
      </c>
      <c r="U256" s="464" t="s">
        <v>256</v>
      </c>
      <c r="V256" s="464" t="e">
        <f>VLOOKUP(Tabla13[[#This Row],[Apoyo]],'LM SAP'!A:I,9,FALSE)</f>
        <v>#N/A</v>
      </c>
      <c r="X256" s="466">
        <v>0</v>
      </c>
      <c r="Y256" s="464">
        <f>Tabla13[[#This Row],[ID]]</f>
        <v>245</v>
      </c>
    </row>
    <row r="257" spans="1:25" s="464" customFormat="1" ht="36" x14ac:dyDescent="0.25">
      <c r="A257" s="453">
        <v>246</v>
      </c>
      <c r="B257" s="454" t="s">
        <v>2363</v>
      </c>
      <c r="C257" s="469" t="s">
        <v>2364</v>
      </c>
      <c r="D257" s="456" t="s">
        <v>248</v>
      </c>
      <c r="E257" s="457" t="s">
        <v>2365</v>
      </c>
      <c r="F257" s="458">
        <v>1</v>
      </c>
      <c r="G257" s="454" t="s">
        <v>247</v>
      </c>
      <c r="H257" s="460"/>
      <c r="I257" s="460" t="s">
        <v>251</v>
      </c>
      <c r="J257" s="460"/>
      <c r="K257" s="460" t="s">
        <v>1533</v>
      </c>
      <c r="L257" s="460">
        <v>60004987</v>
      </c>
      <c r="M257" s="461">
        <v>45615</v>
      </c>
      <c r="N257" s="461" t="s">
        <v>253</v>
      </c>
      <c r="O257" s="516" t="s">
        <v>2313</v>
      </c>
      <c r="P257" s="463" t="str">
        <f>IF(LEFT(B257,5)="09735",
    IF(ISNA(VLOOKUP(Tabla13[[#This Row],[Apoyo]],'LM SAP'!A:G,1,FALSE)),
        "No Disponible",
        IF(VLOOKUP(Tabla13[[#This Row],[Apoyo]],'LM SAP'!A:AD,9,FALSE)="RR",
            "Disponible",
            "Firmas SAP"
        )
    ),
    "CONSULTAR"
)</f>
        <v>No Disponible</v>
      </c>
      <c r="Q257" s="460" t="str">
        <f>MID(Tabla13[[#This Row],[Código Indra]],1,13)</f>
        <v>0973544330119</v>
      </c>
      <c r="R257" s="464" t="str">
        <f>IF(ISNA(VLOOKUP(Tabla13[[#This Row],[Código Indra]],#REF!,1,FALSE)),"NO", "SI")</f>
        <v>SI</v>
      </c>
      <c r="S257" s="460" t="str">
        <f>IF(ISNA(VLOOKUP(Tabla13[[#This Row],[Código Indra]],Tabla132[[Código INDRA]:[Nombre]],1,FALSE)),"NO", "SI")</f>
        <v>NO</v>
      </c>
      <c r="T257" s="465" t="s">
        <v>2005</v>
      </c>
      <c r="U257" s="464" t="s">
        <v>256</v>
      </c>
      <c r="V257" s="464" t="e">
        <f>VLOOKUP(Tabla13[[#This Row],[Apoyo]],'LM SAP'!A:I,9,FALSE)</f>
        <v>#N/A</v>
      </c>
      <c r="X257" s="466">
        <v>0</v>
      </c>
      <c r="Y257" s="464">
        <f>Tabla13[[#This Row],[ID]]</f>
        <v>246</v>
      </c>
    </row>
    <row r="258" spans="1:25" s="464" customFormat="1" ht="36" x14ac:dyDescent="0.25">
      <c r="A258" s="453">
        <v>247</v>
      </c>
      <c r="B258" s="454" t="s">
        <v>2366</v>
      </c>
      <c r="C258" s="469" t="s">
        <v>2367</v>
      </c>
      <c r="D258" s="456" t="s">
        <v>248</v>
      </c>
      <c r="E258" s="457" t="s">
        <v>2368</v>
      </c>
      <c r="F258" s="458">
        <v>1</v>
      </c>
      <c r="G258" s="454" t="s">
        <v>247</v>
      </c>
      <c r="H258" s="460"/>
      <c r="I258" s="460" t="s">
        <v>251</v>
      </c>
      <c r="J258" s="460"/>
      <c r="K258" s="460" t="s">
        <v>1533</v>
      </c>
      <c r="L258" s="460">
        <v>60004987</v>
      </c>
      <c r="M258" s="461">
        <v>45615</v>
      </c>
      <c r="N258" s="461" t="s">
        <v>253</v>
      </c>
      <c r="O258" s="516" t="s">
        <v>2313</v>
      </c>
      <c r="P258" s="463" t="str">
        <f>IF(LEFT(B258,5)="09735",
    IF(ISNA(VLOOKUP(Tabla13[[#This Row],[Apoyo]],'LM SAP'!A:G,1,FALSE)),
        "No Disponible",
        IF(VLOOKUP(Tabla13[[#This Row],[Apoyo]],'LM SAP'!A:AD,9,FALSE)="RR",
            "Disponible",
            "Firmas SAP"
        )
    ),
    "CONSULTAR"
)</f>
        <v>No Disponible</v>
      </c>
      <c r="Q258" s="460" t="str">
        <f>MID(Tabla13[[#This Row],[Código Indra]],1,13)</f>
        <v>0973544330120</v>
      </c>
      <c r="R258" s="464" t="str">
        <f>IF(ISNA(VLOOKUP(Tabla13[[#This Row],[Código Indra]],#REF!,1,FALSE)),"NO", "SI")</f>
        <v>SI</v>
      </c>
      <c r="S258" s="460" t="str">
        <f>IF(ISNA(VLOOKUP(Tabla13[[#This Row],[Código Indra]],Tabla132[[Código INDRA]:[Nombre]],1,FALSE)),"NO", "SI")</f>
        <v>NO</v>
      </c>
      <c r="T258" s="465" t="s">
        <v>2005</v>
      </c>
      <c r="U258" s="464" t="s">
        <v>256</v>
      </c>
      <c r="V258" s="464" t="e">
        <f>VLOOKUP(Tabla13[[#This Row],[Apoyo]],'LM SAP'!A:I,9,FALSE)</f>
        <v>#N/A</v>
      </c>
      <c r="X258" s="466">
        <v>0</v>
      </c>
      <c r="Y258" s="464">
        <f>Tabla13[[#This Row],[ID]]</f>
        <v>247</v>
      </c>
    </row>
    <row r="259" spans="1:25" s="464" customFormat="1" ht="36" x14ac:dyDescent="0.25">
      <c r="A259" s="453">
        <v>248</v>
      </c>
      <c r="B259" s="454" t="s">
        <v>2369</v>
      </c>
      <c r="C259" s="469" t="s">
        <v>2370</v>
      </c>
      <c r="D259" s="456" t="s">
        <v>248</v>
      </c>
      <c r="E259" s="457" t="s">
        <v>2371</v>
      </c>
      <c r="F259" s="458">
        <v>1</v>
      </c>
      <c r="G259" s="454" t="s">
        <v>247</v>
      </c>
      <c r="H259" s="460"/>
      <c r="I259" s="460" t="s">
        <v>251</v>
      </c>
      <c r="J259" s="460"/>
      <c r="K259" s="460" t="s">
        <v>1533</v>
      </c>
      <c r="L259" s="460">
        <v>60004987</v>
      </c>
      <c r="M259" s="461">
        <v>45615</v>
      </c>
      <c r="N259" s="461" t="s">
        <v>253</v>
      </c>
      <c r="O259" s="516" t="s">
        <v>2313</v>
      </c>
      <c r="P259" s="463" t="str">
        <f>IF(LEFT(B259,5)="09735",
    IF(ISNA(VLOOKUP(Tabla13[[#This Row],[Apoyo]],'LM SAP'!A:G,1,FALSE)),
        "No Disponible",
        IF(VLOOKUP(Tabla13[[#This Row],[Apoyo]],'LM SAP'!A:AD,9,FALSE)="RR",
            "Disponible",
            "Firmas SAP"
        )
    ),
    "CONSULTAR"
)</f>
        <v>No Disponible</v>
      </c>
      <c r="Q259" s="460" t="str">
        <f>MID(Tabla13[[#This Row],[Código Indra]],1,13)</f>
        <v>0973544330121</v>
      </c>
      <c r="R259" s="464" t="str">
        <f>IF(ISNA(VLOOKUP(Tabla13[[#This Row],[Código Indra]],#REF!,1,FALSE)),"NO", "SI")</f>
        <v>SI</v>
      </c>
      <c r="S259" s="460" t="str">
        <f>IF(ISNA(VLOOKUP(Tabla13[[#This Row],[Código Indra]],Tabla132[[Código INDRA]:[Nombre]],1,FALSE)),"NO", "SI")</f>
        <v>NO</v>
      </c>
      <c r="T259" s="465" t="s">
        <v>2005</v>
      </c>
      <c r="U259" s="464" t="s">
        <v>256</v>
      </c>
      <c r="V259" s="464" t="e">
        <f>VLOOKUP(Tabla13[[#This Row],[Apoyo]],'LM SAP'!A:I,9,FALSE)</f>
        <v>#N/A</v>
      </c>
      <c r="X259" s="466">
        <v>0</v>
      </c>
      <c r="Y259" s="464">
        <f>Tabla13[[#This Row],[ID]]</f>
        <v>248</v>
      </c>
    </row>
    <row r="260" spans="1:25" s="464" customFormat="1" ht="36" x14ac:dyDescent="0.25">
      <c r="A260" s="453">
        <v>249</v>
      </c>
      <c r="B260" s="454" t="s">
        <v>2372</v>
      </c>
      <c r="C260" s="469" t="s">
        <v>2373</v>
      </c>
      <c r="D260" s="456" t="s">
        <v>248</v>
      </c>
      <c r="E260" s="457" t="s">
        <v>2374</v>
      </c>
      <c r="F260" s="458">
        <v>1</v>
      </c>
      <c r="G260" s="454" t="s">
        <v>247</v>
      </c>
      <c r="H260" s="460"/>
      <c r="I260" s="460" t="s">
        <v>251</v>
      </c>
      <c r="J260" s="460"/>
      <c r="K260" s="460" t="s">
        <v>1533</v>
      </c>
      <c r="L260" s="460">
        <v>60004987</v>
      </c>
      <c r="M260" s="461">
        <v>45615</v>
      </c>
      <c r="N260" s="461" t="s">
        <v>253</v>
      </c>
      <c r="O260" s="516" t="s">
        <v>2313</v>
      </c>
      <c r="P260" s="463" t="str">
        <f>IF(LEFT(B260,5)="09735",
    IF(ISNA(VLOOKUP(Tabla13[[#This Row],[Apoyo]],'LM SAP'!A:G,1,FALSE)),
        "No Disponible",
        IF(VLOOKUP(Tabla13[[#This Row],[Apoyo]],'LM SAP'!A:AD,9,FALSE)="RR",
            "Disponible",
            "Firmas SAP"
        )
    ),
    "CONSULTAR"
)</f>
        <v>No Disponible</v>
      </c>
      <c r="Q260" s="460" t="str">
        <f>MID(Tabla13[[#This Row],[Código Indra]],1,13)</f>
        <v>0973544330122</v>
      </c>
      <c r="R260" s="464" t="str">
        <f>IF(ISNA(VLOOKUP(Tabla13[[#This Row],[Código Indra]],#REF!,1,FALSE)),"NO", "SI")</f>
        <v>SI</v>
      </c>
      <c r="S260" s="460" t="str">
        <f>IF(ISNA(VLOOKUP(Tabla13[[#This Row],[Código Indra]],Tabla132[[Código INDRA]:[Nombre]],1,FALSE)),"NO", "SI")</f>
        <v>NO</v>
      </c>
      <c r="T260" s="465" t="s">
        <v>2005</v>
      </c>
      <c r="U260" s="464" t="s">
        <v>256</v>
      </c>
      <c r="V260" s="464" t="e">
        <f>VLOOKUP(Tabla13[[#This Row],[Apoyo]],'LM SAP'!A:I,9,FALSE)</f>
        <v>#N/A</v>
      </c>
      <c r="X260" s="466">
        <v>0</v>
      </c>
      <c r="Y260" s="464">
        <f>Tabla13[[#This Row],[ID]]</f>
        <v>249</v>
      </c>
    </row>
    <row r="261" spans="1:25" s="464" customFormat="1" ht="36" x14ac:dyDescent="0.25">
      <c r="A261" s="453">
        <v>250</v>
      </c>
      <c r="B261" s="454" t="s">
        <v>2375</v>
      </c>
      <c r="C261" s="469" t="s">
        <v>2376</v>
      </c>
      <c r="D261" s="456" t="s">
        <v>248</v>
      </c>
      <c r="E261" s="457" t="s">
        <v>2377</v>
      </c>
      <c r="F261" s="458">
        <v>1</v>
      </c>
      <c r="G261" s="454" t="s">
        <v>247</v>
      </c>
      <c r="H261" s="460"/>
      <c r="I261" s="460" t="s">
        <v>251</v>
      </c>
      <c r="J261" s="460"/>
      <c r="K261" s="460" t="s">
        <v>1533</v>
      </c>
      <c r="L261" s="460">
        <v>60004987</v>
      </c>
      <c r="M261" s="461">
        <v>45615</v>
      </c>
      <c r="N261" s="461" t="s">
        <v>253</v>
      </c>
      <c r="O261" s="516" t="s">
        <v>2313</v>
      </c>
      <c r="P261" s="463" t="str">
        <f>IF(LEFT(B261,5)="09735",
    IF(ISNA(VLOOKUP(Tabla13[[#This Row],[Apoyo]],'LM SAP'!A:G,1,FALSE)),
        "No Disponible",
        IF(VLOOKUP(Tabla13[[#This Row],[Apoyo]],'LM SAP'!A:AD,9,FALSE)="RR",
            "Disponible",
            "Firmas SAP"
        )
    ),
    "CONSULTAR"
)</f>
        <v>No Disponible</v>
      </c>
      <c r="Q261" s="460" t="str">
        <f>MID(Tabla13[[#This Row],[Código Indra]],1,13)</f>
        <v>0973544330123</v>
      </c>
      <c r="R261" s="464" t="str">
        <f>IF(ISNA(VLOOKUP(Tabla13[[#This Row],[Código Indra]],#REF!,1,FALSE)),"NO", "SI")</f>
        <v>SI</v>
      </c>
      <c r="S261" s="460" t="str">
        <f>IF(ISNA(VLOOKUP(Tabla13[[#This Row],[Código Indra]],Tabla132[[Código INDRA]:[Nombre]],1,FALSE)),"NO", "SI")</f>
        <v>NO</v>
      </c>
      <c r="T261" s="465" t="s">
        <v>2005</v>
      </c>
      <c r="U261" s="464" t="s">
        <v>256</v>
      </c>
      <c r="V261" s="464" t="e">
        <f>VLOOKUP(Tabla13[[#This Row],[Apoyo]],'LM SAP'!A:I,9,FALSE)</f>
        <v>#N/A</v>
      </c>
      <c r="X261" s="466">
        <v>0</v>
      </c>
      <c r="Y261" s="464">
        <f>Tabla13[[#This Row],[ID]]</f>
        <v>250</v>
      </c>
    </row>
    <row r="262" spans="1:25" s="464" customFormat="1" ht="36" x14ac:dyDescent="0.25">
      <c r="A262" s="453">
        <v>251</v>
      </c>
      <c r="B262" s="454" t="s">
        <v>2378</v>
      </c>
      <c r="C262" s="469" t="s">
        <v>2379</v>
      </c>
      <c r="D262" s="456" t="s">
        <v>248</v>
      </c>
      <c r="E262" s="457" t="s">
        <v>2380</v>
      </c>
      <c r="F262" s="458">
        <v>1</v>
      </c>
      <c r="G262" s="454" t="s">
        <v>247</v>
      </c>
      <c r="H262" s="460"/>
      <c r="I262" s="460" t="s">
        <v>251</v>
      </c>
      <c r="J262" s="460"/>
      <c r="K262" s="460" t="s">
        <v>1533</v>
      </c>
      <c r="L262" s="460">
        <v>60004987</v>
      </c>
      <c r="M262" s="461">
        <v>45615</v>
      </c>
      <c r="N262" s="461" t="s">
        <v>253</v>
      </c>
      <c r="O262" s="516" t="s">
        <v>2313</v>
      </c>
      <c r="P262" s="463" t="str">
        <f>IF(LEFT(B262,5)="09735",
    IF(ISNA(VLOOKUP(Tabla13[[#This Row],[Apoyo]],'LM SAP'!A:G,1,FALSE)),
        "No Disponible",
        IF(VLOOKUP(Tabla13[[#This Row],[Apoyo]],'LM SAP'!A:AD,9,FALSE)="RR",
            "Disponible",
            "Firmas SAP"
        )
    ),
    "CONSULTAR"
)</f>
        <v>No Disponible</v>
      </c>
      <c r="Q262" s="460" t="str">
        <f>MID(Tabla13[[#This Row],[Código Indra]],1,13)</f>
        <v>0973544330124</v>
      </c>
      <c r="R262" s="464" t="str">
        <f>IF(ISNA(VLOOKUP(Tabla13[[#This Row],[Código Indra]],#REF!,1,FALSE)),"NO", "SI")</f>
        <v>SI</v>
      </c>
      <c r="S262" s="460" t="str">
        <f>IF(ISNA(VLOOKUP(Tabla13[[#This Row],[Código Indra]],Tabla132[[Código INDRA]:[Nombre]],1,FALSE)),"NO", "SI")</f>
        <v>NO</v>
      </c>
      <c r="T262" s="465" t="s">
        <v>2005</v>
      </c>
      <c r="U262" s="464" t="s">
        <v>256</v>
      </c>
      <c r="V262" s="464" t="e">
        <f>VLOOKUP(Tabla13[[#This Row],[Apoyo]],'LM SAP'!A:I,9,FALSE)</f>
        <v>#N/A</v>
      </c>
      <c r="X262" s="466">
        <v>0</v>
      </c>
      <c r="Y262" s="464">
        <f>Tabla13[[#This Row],[ID]]</f>
        <v>251</v>
      </c>
    </row>
    <row r="263" spans="1:25" s="464" customFormat="1" ht="36" x14ac:dyDescent="0.25">
      <c r="A263" s="453">
        <v>252</v>
      </c>
      <c r="B263" s="454" t="s">
        <v>2381</v>
      </c>
      <c r="C263" s="469" t="s">
        <v>2311</v>
      </c>
      <c r="D263" s="456" t="s">
        <v>248</v>
      </c>
      <c r="E263" s="457" t="s">
        <v>2382</v>
      </c>
      <c r="F263" s="458">
        <v>1</v>
      </c>
      <c r="G263" s="454" t="s">
        <v>247</v>
      </c>
      <c r="H263" s="460"/>
      <c r="I263" s="460" t="s">
        <v>251</v>
      </c>
      <c r="J263" s="460"/>
      <c r="K263" s="460" t="s">
        <v>1533</v>
      </c>
      <c r="L263" s="460">
        <v>60004987</v>
      </c>
      <c r="M263" s="461">
        <v>45615</v>
      </c>
      <c r="N263" s="461" t="s">
        <v>253</v>
      </c>
      <c r="O263" s="516" t="s">
        <v>2313</v>
      </c>
      <c r="P263" s="463" t="str">
        <f>IF(LEFT(B263,5)="09735",
    IF(ISNA(VLOOKUP(Tabla13[[#This Row],[Apoyo]],'LM SAP'!A:G,1,FALSE)),
        "No Disponible",
        IF(VLOOKUP(Tabla13[[#This Row],[Apoyo]],'LM SAP'!A:AD,9,FALSE)="RR",
            "Disponible",
            "Firmas SAP"
        )
    ),
    "CONSULTAR"
)</f>
        <v>No Disponible</v>
      </c>
      <c r="Q263" s="460" t="str">
        <f>MID(Tabla13[[#This Row],[Código Indra]],1,13)</f>
        <v>0973544330125</v>
      </c>
      <c r="R263" s="464" t="str">
        <f>IF(ISNA(VLOOKUP(Tabla13[[#This Row],[Código Indra]],#REF!,1,FALSE)),"NO", "SI")</f>
        <v>SI</v>
      </c>
      <c r="S263" s="460" t="str">
        <f>IF(ISNA(VLOOKUP(Tabla13[[#This Row],[Código Indra]],Tabla132[[Código INDRA]:[Nombre]],1,FALSE)),"NO", "SI")</f>
        <v>NO</v>
      </c>
      <c r="T263" s="465" t="s">
        <v>2005</v>
      </c>
      <c r="U263" s="464" t="s">
        <v>256</v>
      </c>
      <c r="V263" s="464" t="e">
        <f>VLOOKUP(Tabla13[[#This Row],[Apoyo]],'LM SAP'!A:I,9,FALSE)</f>
        <v>#N/A</v>
      </c>
      <c r="X263" s="466">
        <v>0</v>
      </c>
      <c r="Y263" s="464">
        <f>Tabla13[[#This Row],[ID]]</f>
        <v>252</v>
      </c>
    </row>
    <row r="264" spans="1:25" s="464" customFormat="1" ht="36" x14ac:dyDescent="0.25">
      <c r="A264" s="453">
        <v>253</v>
      </c>
      <c r="B264" s="454" t="s">
        <v>2383</v>
      </c>
      <c r="C264" s="469" t="s">
        <v>2315</v>
      </c>
      <c r="D264" s="456" t="s">
        <v>248</v>
      </c>
      <c r="E264" s="457" t="s">
        <v>2384</v>
      </c>
      <c r="F264" s="458">
        <v>1</v>
      </c>
      <c r="G264" s="454" t="s">
        <v>247</v>
      </c>
      <c r="H264" s="460"/>
      <c r="I264" s="460" t="s">
        <v>251</v>
      </c>
      <c r="J264" s="460"/>
      <c r="K264" s="460" t="s">
        <v>1533</v>
      </c>
      <c r="L264" s="460">
        <v>60004987</v>
      </c>
      <c r="M264" s="461">
        <v>45615</v>
      </c>
      <c r="N264" s="461" t="s">
        <v>253</v>
      </c>
      <c r="O264" s="516" t="s">
        <v>2313</v>
      </c>
      <c r="P264" s="463" t="str">
        <f>IF(LEFT(B264,5)="09735",
    IF(ISNA(VLOOKUP(Tabla13[[#This Row],[Apoyo]],'LM SAP'!A:G,1,FALSE)),
        "No Disponible",
        IF(VLOOKUP(Tabla13[[#This Row],[Apoyo]],'LM SAP'!A:AD,9,FALSE)="RR",
            "Disponible",
            "Firmas SAP"
        )
    ),
    "CONSULTAR"
)</f>
        <v>No Disponible</v>
      </c>
      <c r="Q264" s="460" t="str">
        <f>MID(Tabla13[[#This Row],[Código Indra]],1,13)</f>
        <v>0973544330126</v>
      </c>
      <c r="R264" s="464" t="str">
        <f>IF(ISNA(VLOOKUP(Tabla13[[#This Row],[Código Indra]],#REF!,1,FALSE)),"NO", "SI")</f>
        <v>SI</v>
      </c>
      <c r="S264" s="460" t="str">
        <f>IF(ISNA(VLOOKUP(Tabla13[[#This Row],[Código Indra]],Tabla132[[Código INDRA]:[Nombre]],1,FALSE)),"NO", "SI")</f>
        <v>NO</v>
      </c>
      <c r="T264" s="465" t="s">
        <v>2005</v>
      </c>
      <c r="U264" s="464" t="s">
        <v>256</v>
      </c>
      <c r="V264" s="464" t="e">
        <f>VLOOKUP(Tabla13[[#This Row],[Apoyo]],'LM SAP'!A:I,9,FALSE)</f>
        <v>#N/A</v>
      </c>
      <c r="X264" s="466">
        <v>0</v>
      </c>
      <c r="Y264" s="464">
        <f>Tabla13[[#This Row],[ID]]</f>
        <v>253</v>
      </c>
    </row>
    <row r="265" spans="1:25" s="464" customFormat="1" ht="36" x14ac:dyDescent="0.25">
      <c r="A265" s="453">
        <v>254</v>
      </c>
      <c r="B265" s="454" t="s">
        <v>2385</v>
      </c>
      <c r="C265" s="469" t="s">
        <v>2318</v>
      </c>
      <c r="D265" s="456" t="s">
        <v>248</v>
      </c>
      <c r="E265" s="457" t="s">
        <v>2386</v>
      </c>
      <c r="F265" s="458">
        <v>1</v>
      </c>
      <c r="G265" s="454" t="s">
        <v>247</v>
      </c>
      <c r="H265" s="460"/>
      <c r="I265" s="460" t="s">
        <v>251</v>
      </c>
      <c r="J265" s="460"/>
      <c r="K265" s="460" t="s">
        <v>1533</v>
      </c>
      <c r="L265" s="460">
        <v>60004987</v>
      </c>
      <c r="M265" s="461">
        <v>45615</v>
      </c>
      <c r="N265" s="461" t="s">
        <v>253</v>
      </c>
      <c r="O265" s="516" t="s">
        <v>2313</v>
      </c>
      <c r="P265" s="463" t="str">
        <f>IF(LEFT(B265,5)="09735",
    IF(ISNA(VLOOKUP(Tabla13[[#This Row],[Apoyo]],'LM SAP'!A:G,1,FALSE)),
        "No Disponible",
        IF(VLOOKUP(Tabla13[[#This Row],[Apoyo]],'LM SAP'!A:AD,9,FALSE)="RR",
            "Disponible",
            "Firmas SAP"
        )
    ),
    "CONSULTAR"
)</f>
        <v>No Disponible</v>
      </c>
      <c r="Q265" s="460" t="str">
        <f>MID(Tabla13[[#This Row],[Código Indra]],1,13)</f>
        <v>0973544330127</v>
      </c>
      <c r="R265" s="464" t="str">
        <f>IF(ISNA(VLOOKUP(Tabla13[[#This Row],[Código Indra]],#REF!,1,FALSE)),"NO", "SI")</f>
        <v>SI</v>
      </c>
      <c r="S265" s="460" t="str">
        <f>IF(ISNA(VLOOKUP(Tabla13[[#This Row],[Código Indra]],Tabla132[[Código INDRA]:[Nombre]],1,FALSE)),"NO", "SI")</f>
        <v>NO</v>
      </c>
      <c r="T265" s="465" t="s">
        <v>2005</v>
      </c>
      <c r="U265" s="464" t="s">
        <v>256</v>
      </c>
      <c r="V265" s="464" t="e">
        <f>VLOOKUP(Tabla13[[#This Row],[Apoyo]],'LM SAP'!A:I,9,FALSE)</f>
        <v>#N/A</v>
      </c>
      <c r="X265" s="466">
        <v>0</v>
      </c>
      <c r="Y265" s="464">
        <f>Tabla13[[#This Row],[ID]]</f>
        <v>254</v>
      </c>
    </row>
    <row r="266" spans="1:25" s="464" customFormat="1" ht="36" x14ac:dyDescent="0.25">
      <c r="A266" s="453">
        <v>255</v>
      </c>
      <c r="B266" s="454" t="s">
        <v>2387</v>
      </c>
      <c r="C266" s="469" t="s">
        <v>2321</v>
      </c>
      <c r="D266" s="456" t="s">
        <v>248</v>
      </c>
      <c r="E266" s="457" t="s">
        <v>2388</v>
      </c>
      <c r="F266" s="458">
        <v>1</v>
      </c>
      <c r="G266" s="454" t="s">
        <v>247</v>
      </c>
      <c r="H266" s="460"/>
      <c r="I266" s="460" t="s">
        <v>251</v>
      </c>
      <c r="J266" s="460"/>
      <c r="K266" s="460" t="s">
        <v>1533</v>
      </c>
      <c r="L266" s="460">
        <v>60004987</v>
      </c>
      <c r="M266" s="461">
        <v>45615</v>
      </c>
      <c r="N266" s="461" t="s">
        <v>253</v>
      </c>
      <c r="O266" s="516" t="s">
        <v>2313</v>
      </c>
      <c r="P266" s="463" t="str">
        <f>IF(LEFT(B266,5)="09735",
    IF(ISNA(VLOOKUP(Tabla13[[#This Row],[Apoyo]],'LM SAP'!A:G,1,FALSE)),
        "No Disponible",
        IF(VLOOKUP(Tabla13[[#This Row],[Apoyo]],'LM SAP'!A:AD,9,FALSE)="RR",
            "Disponible",
            "Firmas SAP"
        )
    ),
    "CONSULTAR"
)</f>
        <v>No Disponible</v>
      </c>
      <c r="Q266" s="460" t="str">
        <f>MID(Tabla13[[#This Row],[Código Indra]],1,13)</f>
        <v>0973544330128</v>
      </c>
      <c r="R266" s="464" t="str">
        <f>IF(ISNA(VLOOKUP(Tabla13[[#This Row],[Código Indra]],#REF!,1,FALSE)),"NO", "SI")</f>
        <v>SI</v>
      </c>
      <c r="S266" s="460" t="str">
        <f>IF(ISNA(VLOOKUP(Tabla13[[#This Row],[Código Indra]],Tabla132[[Código INDRA]:[Nombre]],1,FALSE)),"NO", "SI")</f>
        <v>NO</v>
      </c>
      <c r="T266" s="465" t="s">
        <v>2005</v>
      </c>
      <c r="U266" s="464" t="s">
        <v>256</v>
      </c>
      <c r="V266" s="464" t="e">
        <f>VLOOKUP(Tabla13[[#This Row],[Apoyo]],'LM SAP'!A:I,9,FALSE)</f>
        <v>#N/A</v>
      </c>
      <c r="X266" s="466">
        <v>0</v>
      </c>
      <c r="Y266" s="464">
        <f>Tabla13[[#This Row],[ID]]</f>
        <v>255</v>
      </c>
    </row>
    <row r="267" spans="1:25" s="464" customFormat="1" ht="36" x14ac:dyDescent="0.25">
      <c r="A267" s="453">
        <v>256</v>
      </c>
      <c r="B267" s="454" t="s">
        <v>2389</v>
      </c>
      <c r="C267" s="469" t="s">
        <v>2324</v>
      </c>
      <c r="D267" s="456" t="s">
        <v>248</v>
      </c>
      <c r="E267" s="457" t="s">
        <v>2390</v>
      </c>
      <c r="F267" s="458">
        <v>1</v>
      </c>
      <c r="G267" s="514" t="s">
        <v>247</v>
      </c>
      <c r="H267" s="460"/>
      <c r="I267" s="460" t="s">
        <v>251</v>
      </c>
      <c r="J267" s="460"/>
      <c r="K267" s="460" t="s">
        <v>1533</v>
      </c>
      <c r="L267" s="460">
        <v>60004987</v>
      </c>
      <c r="M267" s="461">
        <v>45615</v>
      </c>
      <c r="N267" s="461" t="s">
        <v>253</v>
      </c>
      <c r="O267" s="516" t="s">
        <v>2313</v>
      </c>
      <c r="P267" s="463" t="str">
        <f>IF(LEFT(B267,5)="09735",
    IF(ISNA(VLOOKUP(Tabla13[[#This Row],[Apoyo]],'LM SAP'!A:G,1,FALSE)),
        "No Disponible",
        IF(VLOOKUP(Tabla13[[#This Row],[Apoyo]],'LM SAP'!A:AD,9,FALSE)="RR",
            "Disponible",
            "Firmas SAP"
        )
    ),
    "CONSULTAR"
)</f>
        <v>Disponible</v>
      </c>
      <c r="Q267" s="460" t="str">
        <f>MID(Tabla13[[#This Row],[Código Indra]],1,13)</f>
        <v>0973544330129</v>
      </c>
      <c r="R267" s="464" t="str">
        <f>IF(ISNA(VLOOKUP(Tabla13[[#This Row],[Código Indra]],#REF!,1,FALSE)),"NO", "SI")</f>
        <v>SI</v>
      </c>
      <c r="S267" s="460" t="str">
        <f>IF(ISNA(VLOOKUP(Tabla13[[#This Row],[Código Indra]],Tabla132[[Código INDRA]:[Nombre]],1,FALSE)),"NO", "SI")</f>
        <v>NO</v>
      </c>
      <c r="T267" s="465" t="s">
        <v>2005</v>
      </c>
      <c r="U267" s="464" t="s">
        <v>256</v>
      </c>
      <c r="V267" s="464" t="str">
        <f>VLOOKUP(Tabla13[[#This Row],[Apoyo]],'LM SAP'!A:I,9,FALSE)</f>
        <v>RR</v>
      </c>
      <c r="X267" s="466">
        <v>0</v>
      </c>
      <c r="Y267" s="464">
        <f>Tabla13[[#This Row],[ID]]</f>
        <v>256</v>
      </c>
    </row>
    <row r="268" spans="1:25" s="464" customFormat="1" ht="36" x14ac:dyDescent="0.25">
      <c r="A268" s="453">
        <v>257</v>
      </c>
      <c r="B268" s="454" t="s">
        <v>2391</v>
      </c>
      <c r="C268" s="469" t="s">
        <v>2327</v>
      </c>
      <c r="D268" s="456" t="s">
        <v>248</v>
      </c>
      <c r="E268" s="457" t="s">
        <v>2392</v>
      </c>
      <c r="F268" s="458">
        <v>1</v>
      </c>
      <c r="G268" s="514" t="s">
        <v>247</v>
      </c>
      <c r="H268" s="460"/>
      <c r="I268" s="460" t="s">
        <v>251</v>
      </c>
      <c r="J268" s="460"/>
      <c r="K268" s="460" t="s">
        <v>1533</v>
      </c>
      <c r="L268" s="460">
        <v>60004987</v>
      </c>
      <c r="M268" s="461">
        <v>45615</v>
      </c>
      <c r="N268" s="461" t="s">
        <v>253</v>
      </c>
      <c r="O268" s="516" t="s">
        <v>2313</v>
      </c>
      <c r="P268" s="463" t="str">
        <f>IF(LEFT(B268,5)="09735",
    IF(ISNA(VLOOKUP(Tabla13[[#This Row],[Apoyo]],'LM SAP'!A:G,1,FALSE)),
        "No Disponible",
        IF(VLOOKUP(Tabla13[[#This Row],[Apoyo]],'LM SAP'!A:AD,9,FALSE)="RR",
            "Disponible",
            "Firmas SAP"
        )
    ),
    "CONSULTAR"
)</f>
        <v>No Disponible</v>
      </c>
      <c r="Q268" s="460" t="str">
        <f>MID(Tabla13[[#This Row],[Código Indra]],1,13)</f>
        <v>0973544330130</v>
      </c>
      <c r="R268" s="464" t="str">
        <f>IF(ISNA(VLOOKUP(Tabla13[[#This Row],[Código Indra]],#REF!,1,FALSE)),"NO", "SI")</f>
        <v>SI</v>
      </c>
      <c r="S268" s="460" t="str">
        <f>IF(ISNA(VLOOKUP(Tabla13[[#This Row],[Código Indra]],Tabla132[[Código INDRA]:[Nombre]],1,FALSE)),"NO", "SI")</f>
        <v>NO</v>
      </c>
      <c r="T268" s="465" t="s">
        <v>2005</v>
      </c>
      <c r="U268" s="464" t="s">
        <v>256</v>
      </c>
      <c r="V268" s="464" t="e">
        <f>VLOOKUP(Tabla13[[#This Row],[Apoyo]],'LM SAP'!A:I,9,FALSE)</f>
        <v>#N/A</v>
      </c>
      <c r="X268" s="466">
        <v>0</v>
      </c>
      <c r="Y268" s="464">
        <f>Tabla13[[#This Row],[ID]]</f>
        <v>257</v>
      </c>
    </row>
    <row r="269" spans="1:25" s="464" customFormat="1" ht="36" x14ac:dyDescent="0.25">
      <c r="A269" s="453">
        <v>258</v>
      </c>
      <c r="B269" s="454" t="s">
        <v>2393</v>
      </c>
      <c r="C269" s="469" t="s">
        <v>2329</v>
      </c>
      <c r="D269" s="456" t="s">
        <v>248</v>
      </c>
      <c r="E269" s="457" t="s">
        <v>2394</v>
      </c>
      <c r="F269" s="458">
        <v>1</v>
      </c>
      <c r="G269" s="514" t="s">
        <v>247</v>
      </c>
      <c r="H269" s="460"/>
      <c r="I269" s="460" t="s">
        <v>251</v>
      </c>
      <c r="J269" s="460"/>
      <c r="K269" s="460" t="s">
        <v>1533</v>
      </c>
      <c r="L269" s="460">
        <v>60004987</v>
      </c>
      <c r="M269" s="461">
        <v>45615</v>
      </c>
      <c r="N269" s="461" t="s">
        <v>253</v>
      </c>
      <c r="O269" s="516" t="s">
        <v>2313</v>
      </c>
      <c r="P269" s="463" t="str">
        <f>IF(LEFT(B269,5)="09735",
    IF(ISNA(VLOOKUP(Tabla13[[#This Row],[Apoyo]],'LM SAP'!A:G,1,FALSE)),
        "No Disponible",
        IF(VLOOKUP(Tabla13[[#This Row],[Apoyo]],'LM SAP'!A:AD,9,FALSE)="RR",
            "Disponible",
            "Firmas SAP"
        )
    ),
    "CONSULTAR"
)</f>
        <v>No Disponible</v>
      </c>
      <c r="Q269" s="460" t="str">
        <f>MID(Tabla13[[#This Row],[Código Indra]],1,13)</f>
        <v>0973544330131</v>
      </c>
      <c r="R269" s="464" t="str">
        <f>IF(ISNA(VLOOKUP(Tabla13[[#This Row],[Código Indra]],#REF!,1,FALSE)),"NO", "SI")</f>
        <v>SI</v>
      </c>
      <c r="S269" s="460" t="str">
        <f>IF(ISNA(VLOOKUP(Tabla13[[#This Row],[Código Indra]],Tabla132[[Código INDRA]:[Nombre]],1,FALSE)),"NO", "SI")</f>
        <v>NO</v>
      </c>
      <c r="T269" s="465" t="s">
        <v>2005</v>
      </c>
      <c r="U269" s="464" t="s">
        <v>256</v>
      </c>
      <c r="V269" s="464" t="e">
        <f>VLOOKUP(Tabla13[[#This Row],[Apoyo]],'LM SAP'!A:I,9,FALSE)</f>
        <v>#N/A</v>
      </c>
      <c r="X269" s="466">
        <v>0</v>
      </c>
      <c r="Y269" s="464">
        <f>Tabla13[[#This Row],[ID]]</f>
        <v>258</v>
      </c>
    </row>
    <row r="270" spans="1:25" s="464" customFormat="1" ht="36" x14ac:dyDescent="0.25">
      <c r="A270" s="453">
        <v>259</v>
      </c>
      <c r="B270" s="454" t="s">
        <v>2395</v>
      </c>
      <c r="C270" s="469" t="s">
        <v>2332</v>
      </c>
      <c r="D270" s="456" t="s">
        <v>248</v>
      </c>
      <c r="E270" s="457" t="s">
        <v>2396</v>
      </c>
      <c r="F270" s="458">
        <v>1</v>
      </c>
      <c r="G270" s="514" t="s">
        <v>247</v>
      </c>
      <c r="H270" s="460"/>
      <c r="I270" s="460" t="s">
        <v>251</v>
      </c>
      <c r="J270" s="460"/>
      <c r="K270" s="460" t="s">
        <v>1533</v>
      </c>
      <c r="L270" s="460">
        <v>60004987</v>
      </c>
      <c r="M270" s="461">
        <v>45615</v>
      </c>
      <c r="N270" s="461" t="s">
        <v>253</v>
      </c>
      <c r="O270" s="516" t="s">
        <v>2313</v>
      </c>
      <c r="P270" s="463" t="str">
        <f>IF(LEFT(B270,5)="09735",
    IF(ISNA(VLOOKUP(Tabla13[[#This Row],[Apoyo]],'LM SAP'!A:G,1,FALSE)),
        "No Disponible",
        IF(VLOOKUP(Tabla13[[#This Row],[Apoyo]],'LM SAP'!A:AD,9,FALSE)="RR",
            "Disponible",
            "Firmas SAP"
        )
    ),
    "CONSULTAR"
)</f>
        <v>No Disponible</v>
      </c>
      <c r="Q270" s="460" t="str">
        <f>MID(Tabla13[[#This Row],[Código Indra]],1,13)</f>
        <v>0973544330132</v>
      </c>
      <c r="R270" s="464" t="str">
        <f>IF(ISNA(VLOOKUP(Tabla13[[#This Row],[Código Indra]],#REF!,1,FALSE)),"NO", "SI")</f>
        <v>SI</v>
      </c>
      <c r="S270" s="460" t="str">
        <f>IF(ISNA(VLOOKUP(Tabla13[[#This Row],[Código Indra]],Tabla132[[Código INDRA]:[Nombre]],1,FALSE)),"NO", "SI")</f>
        <v>NO</v>
      </c>
      <c r="T270" s="465" t="s">
        <v>2005</v>
      </c>
      <c r="U270" s="464" t="s">
        <v>256</v>
      </c>
      <c r="V270" s="464" t="e">
        <f>VLOOKUP(Tabla13[[#This Row],[Apoyo]],'LM SAP'!A:I,9,FALSE)</f>
        <v>#N/A</v>
      </c>
      <c r="X270" s="466">
        <v>0</v>
      </c>
      <c r="Y270" s="464">
        <f>Tabla13[[#This Row],[ID]]</f>
        <v>259</v>
      </c>
    </row>
    <row r="271" spans="1:25" s="464" customFormat="1" ht="36" x14ac:dyDescent="0.25">
      <c r="A271" s="453">
        <v>260</v>
      </c>
      <c r="B271" s="454" t="s">
        <v>2397</v>
      </c>
      <c r="C271" s="469" t="s">
        <v>1076</v>
      </c>
      <c r="D271" s="456" t="s">
        <v>248</v>
      </c>
      <c r="E271" s="457" t="s">
        <v>2398</v>
      </c>
      <c r="F271" s="458">
        <v>1</v>
      </c>
      <c r="G271" s="514" t="s">
        <v>247</v>
      </c>
      <c r="H271" s="460"/>
      <c r="I271" s="460" t="s">
        <v>251</v>
      </c>
      <c r="J271" s="460"/>
      <c r="K271" s="460" t="s">
        <v>1533</v>
      </c>
      <c r="L271" s="460">
        <v>60004987</v>
      </c>
      <c r="M271" s="461">
        <v>45615</v>
      </c>
      <c r="N271" s="461" t="s">
        <v>253</v>
      </c>
      <c r="O271" s="516" t="s">
        <v>2313</v>
      </c>
      <c r="P271" s="463" t="str">
        <f>IF(LEFT(B271,5)="09735",
    IF(ISNA(VLOOKUP(Tabla13[[#This Row],[Apoyo]],'LM SAP'!A:G,1,FALSE)),
        "No Disponible",
        IF(VLOOKUP(Tabla13[[#This Row],[Apoyo]],'LM SAP'!A:AD,9,FALSE)="RR",
            "Disponible",
            "Firmas SAP"
        )
    ),
    "CONSULTAR"
)</f>
        <v>No Disponible</v>
      </c>
      <c r="Q271" s="460" t="str">
        <f>MID(Tabla13[[#This Row],[Código Indra]],1,13)</f>
        <v>0973544330133</v>
      </c>
      <c r="R271" s="464" t="str">
        <f>IF(ISNA(VLOOKUP(Tabla13[[#This Row],[Código Indra]],#REF!,1,FALSE)),"NO", "SI")</f>
        <v>SI</v>
      </c>
      <c r="S271" s="460" t="str">
        <f>IF(ISNA(VLOOKUP(Tabla13[[#This Row],[Código Indra]],Tabla132[[Código INDRA]:[Nombre]],1,FALSE)),"NO", "SI")</f>
        <v>NO</v>
      </c>
      <c r="T271" s="465" t="s">
        <v>2005</v>
      </c>
      <c r="U271" s="464" t="s">
        <v>256</v>
      </c>
      <c r="V271" s="464" t="e">
        <f>VLOOKUP(Tabla13[[#This Row],[Apoyo]],'LM SAP'!A:I,9,FALSE)</f>
        <v>#N/A</v>
      </c>
      <c r="X271" s="466">
        <v>0</v>
      </c>
      <c r="Y271" s="464">
        <f>Tabla13[[#This Row],[ID]]</f>
        <v>260</v>
      </c>
    </row>
    <row r="272" spans="1:25" s="464" customFormat="1" ht="36" x14ac:dyDescent="0.25">
      <c r="A272" s="453">
        <v>261</v>
      </c>
      <c r="B272" s="454" t="s">
        <v>2399</v>
      </c>
      <c r="C272" s="469" t="s">
        <v>2400</v>
      </c>
      <c r="D272" s="456" t="s">
        <v>248</v>
      </c>
      <c r="E272" s="457" t="s">
        <v>2401</v>
      </c>
      <c r="F272" s="458">
        <v>1</v>
      </c>
      <c r="G272" s="514" t="s">
        <v>247</v>
      </c>
      <c r="H272" s="460"/>
      <c r="I272" s="460" t="s">
        <v>251</v>
      </c>
      <c r="J272" s="460"/>
      <c r="K272" s="460" t="s">
        <v>1533</v>
      </c>
      <c r="L272" s="460">
        <v>60004987</v>
      </c>
      <c r="M272" s="461">
        <v>45615</v>
      </c>
      <c r="N272" s="461" t="s">
        <v>253</v>
      </c>
      <c r="O272" s="516" t="s">
        <v>2313</v>
      </c>
      <c r="P272" s="463" t="str">
        <f>IF(LEFT(B272,5)="09735",
    IF(ISNA(VLOOKUP(Tabla13[[#This Row],[Apoyo]],'LM SAP'!A:G,1,FALSE)),
        "No Disponible",
        IF(VLOOKUP(Tabla13[[#This Row],[Apoyo]],'LM SAP'!A:AD,9,FALSE)="RR",
            "Disponible",
            "Firmas SAP"
        )
    ),
    "CONSULTAR"
)</f>
        <v>No Disponible</v>
      </c>
      <c r="Q272" s="460" t="str">
        <f>MID(Tabla13[[#This Row],[Código Indra]],1,13)</f>
        <v>0973544330134</v>
      </c>
      <c r="R272" s="464" t="str">
        <f>IF(ISNA(VLOOKUP(Tabla13[[#This Row],[Código Indra]],#REF!,1,FALSE)),"NO", "SI")</f>
        <v>SI</v>
      </c>
      <c r="S272" s="460" t="str">
        <f>IF(ISNA(VLOOKUP(Tabla13[[#This Row],[Código Indra]],Tabla132[[Código INDRA]:[Nombre]],1,FALSE)),"NO", "SI")</f>
        <v>NO</v>
      </c>
      <c r="T272" s="465" t="s">
        <v>2005</v>
      </c>
      <c r="U272" s="464" t="s">
        <v>256</v>
      </c>
      <c r="V272" s="464" t="e">
        <f>VLOOKUP(Tabla13[[#This Row],[Apoyo]],'LM SAP'!A:I,9,FALSE)</f>
        <v>#N/A</v>
      </c>
      <c r="X272" s="466">
        <v>0</v>
      </c>
      <c r="Y272" s="464">
        <f>Tabla13[[#This Row],[ID]]</f>
        <v>261</v>
      </c>
    </row>
    <row r="273" spans="1:25" s="464" customFormat="1" ht="36" x14ac:dyDescent="0.25">
      <c r="A273" s="453">
        <v>262</v>
      </c>
      <c r="B273" s="454" t="s">
        <v>2402</v>
      </c>
      <c r="C273" s="469" t="s">
        <v>1076</v>
      </c>
      <c r="D273" s="456" t="s">
        <v>248</v>
      </c>
      <c r="E273" s="457" t="s">
        <v>2403</v>
      </c>
      <c r="F273" s="458">
        <v>1</v>
      </c>
      <c r="G273" s="454" t="s">
        <v>247</v>
      </c>
      <c r="H273" s="460"/>
      <c r="I273" s="460" t="s">
        <v>251</v>
      </c>
      <c r="J273" s="460"/>
      <c r="K273" s="460" t="s">
        <v>1533</v>
      </c>
      <c r="L273" s="460">
        <v>60004987</v>
      </c>
      <c r="M273" s="461">
        <v>45615</v>
      </c>
      <c r="N273" s="461" t="s">
        <v>253</v>
      </c>
      <c r="O273" s="516" t="s">
        <v>2313</v>
      </c>
      <c r="P273" s="463" t="str">
        <f>IF(LEFT(B273,5)="09735",
    IF(ISNA(VLOOKUP(Tabla13[[#This Row],[Apoyo]],'LM SAP'!A:G,1,FALSE)),
        "No Disponible",
        IF(VLOOKUP(Tabla13[[#This Row],[Apoyo]],'LM SAP'!A:AD,9,FALSE)="RR",
            "Disponible",
            "Firmas SAP"
        )
    ),
    "CONSULTAR"
)</f>
        <v>No Disponible</v>
      </c>
      <c r="Q273" s="460" t="str">
        <f>MID(Tabla13[[#This Row],[Código Indra]],1,13)</f>
        <v>0973544330135</v>
      </c>
      <c r="R273" s="464" t="str">
        <f>IF(ISNA(VLOOKUP(Tabla13[[#This Row],[Código Indra]],#REF!,1,FALSE)),"NO", "SI")</f>
        <v>SI</v>
      </c>
      <c r="S273" s="460" t="str">
        <f>IF(ISNA(VLOOKUP(Tabla13[[#This Row],[Código Indra]],Tabla132[[Código INDRA]:[Nombre]],1,FALSE)),"NO", "SI")</f>
        <v>NO</v>
      </c>
      <c r="T273" s="465" t="s">
        <v>2005</v>
      </c>
      <c r="U273" s="464" t="s">
        <v>256</v>
      </c>
      <c r="V273" s="464" t="e">
        <f>VLOOKUP(Tabla13[[#This Row],[Apoyo]],'LM SAP'!A:I,9,FALSE)</f>
        <v>#N/A</v>
      </c>
      <c r="X273" s="466">
        <v>0</v>
      </c>
      <c r="Y273" s="464">
        <f>Tabla13[[#This Row],[ID]]</f>
        <v>262</v>
      </c>
    </row>
    <row r="274" spans="1:25" s="464" customFormat="1" ht="36" x14ac:dyDescent="0.25">
      <c r="A274" s="453">
        <v>263</v>
      </c>
      <c r="B274" s="454" t="s">
        <v>2404</v>
      </c>
      <c r="C274" s="469" t="s">
        <v>2340</v>
      </c>
      <c r="D274" s="456" t="s">
        <v>248</v>
      </c>
      <c r="E274" s="457" t="s">
        <v>2405</v>
      </c>
      <c r="F274" s="458">
        <v>1</v>
      </c>
      <c r="G274" s="454" t="s">
        <v>247</v>
      </c>
      <c r="H274" s="460"/>
      <c r="I274" s="460" t="s">
        <v>251</v>
      </c>
      <c r="J274" s="460"/>
      <c r="K274" s="460" t="s">
        <v>1533</v>
      </c>
      <c r="L274" s="460">
        <v>60004987</v>
      </c>
      <c r="M274" s="461">
        <v>45615</v>
      </c>
      <c r="N274" s="461" t="s">
        <v>253</v>
      </c>
      <c r="O274" s="516" t="s">
        <v>2313</v>
      </c>
      <c r="P274" s="463" t="str">
        <f>IF(LEFT(B274,5)="09735",
    IF(ISNA(VLOOKUP(Tabla13[[#This Row],[Apoyo]],'LM SAP'!A:G,1,FALSE)),
        "No Disponible",
        IF(VLOOKUP(Tabla13[[#This Row],[Apoyo]],'LM SAP'!A:AD,9,FALSE)="RR",
            "Disponible",
            "Firmas SAP"
        )
    ),
    "CONSULTAR"
)</f>
        <v>No Disponible</v>
      </c>
      <c r="Q274" s="460" t="str">
        <f>MID(Tabla13[[#This Row],[Código Indra]],1,13)</f>
        <v>0973544330136</v>
      </c>
      <c r="R274" s="464" t="str">
        <f>IF(ISNA(VLOOKUP(Tabla13[[#This Row],[Código Indra]],#REF!,1,FALSE)),"NO", "SI")</f>
        <v>SI</v>
      </c>
      <c r="S274" s="460" t="str">
        <f>IF(ISNA(VLOOKUP(Tabla13[[#This Row],[Código Indra]],Tabla132[[Código INDRA]:[Nombre]],1,FALSE)),"NO", "SI")</f>
        <v>NO</v>
      </c>
      <c r="T274" s="465" t="s">
        <v>2005</v>
      </c>
      <c r="U274" s="464" t="s">
        <v>256</v>
      </c>
      <c r="V274" s="464" t="e">
        <f>VLOOKUP(Tabla13[[#This Row],[Apoyo]],'LM SAP'!A:I,9,FALSE)</f>
        <v>#N/A</v>
      </c>
      <c r="X274" s="466">
        <v>0</v>
      </c>
      <c r="Y274" s="464">
        <f>Tabla13[[#This Row],[ID]]</f>
        <v>263</v>
      </c>
    </row>
    <row r="275" spans="1:25" s="464" customFormat="1" ht="36" x14ac:dyDescent="0.25">
      <c r="A275" s="453">
        <v>264</v>
      </c>
      <c r="B275" s="454" t="s">
        <v>2406</v>
      </c>
      <c r="C275" s="469" t="s">
        <v>2343</v>
      </c>
      <c r="D275" s="456" t="s">
        <v>248</v>
      </c>
      <c r="E275" s="457" t="s">
        <v>2407</v>
      </c>
      <c r="F275" s="458">
        <v>1</v>
      </c>
      <c r="G275" s="454" t="s">
        <v>247</v>
      </c>
      <c r="H275" s="460"/>
      <c r="I275" s="460" t="s">
        <v>251</v>
      </c>
      <c r="J275" s="460"/>
      <c r="K275" s="460" t="s">
        <v>1533</v>
      </c>
      <c r="L275" s="460">
        <v>60004987</v>
      </c>
      <c r="M275" s="461">
        <v>45615</v>
      </c>
      <c r="N275" s="461" t="s">
        <v>253</v>
      </c>
      <c r="O275" s="516" t="s">
        <v>2313</v>
      </c>
      <c r="P275" s="463" t="str">
        <f>IF(LEFT(B275,5)="09735",
    IF(ISNA(VLOOKUP(Tabla13[[#This Row],[Apoyo]],'LM SAP'!A:G,1,FALSE)),
        "No Disponible",
        IF(VLOOKUP(Tabla13[[#This Row],[Apoyo]],'LM SAP'!A:AD,9,FALSE)="RR",
            "Disponible",
            "Firmas SAP"
        )
    ),
    "CONSULTAR"
)</f>
        <v>No Disponible</v>
      </c>
      <c r="Q275" s="460" t="str">
        <f>MID(Tabla13[[#This Row],[Código Indra]],1,13)</f>
        <v>0973544330138</v>
      </c>
      <c r="R275" s="464" t="str">
        <f>IF(ISNA(VLOOKUP(Tabla13[[#This Row],[Código Indra]],#REF!,1,FALSE)),"NO", "SI")</f>
        <v>SI</v>
      </c>
      <c r="S275" s="460" t="str">
        <f>IF(ISNA(VLOOKUP(Tabla13[[#This Row],[Código Indra]],Tabla132[[Código INDRA]:[Nombre]],1,FALSE)),"NO", "SI")</f>
        <v>NO</v>
      </c>
      <c r="T275" s="465" t="s">
        <v>2005</v>
      </c>
      <c r="U275" s="464" t="s">
        <v>256</v>
      </c>
      <c r="V275" s="464" t="e">
        <f>VLOOKUP(Tabla13[[#This Row],[Apoyo]],'LM SAP'!A:I,9,FALSE)</f>
        <v>#N/A</v>
      </c>
      <c r="X275" s="466">
        <v>0</v>
      </c>
      <c r="Y275" s="464">
        <f>Tabla13[[#This Row],[ID]]</f>
        <v>264</v>
      </c>
    </row>
    <row r="276" spans="1:25" s="464" customFormat="1" ht="36" x14ac:dyDescent="0.25">
      <c r="A276" s="453">
        <v>265</v>
      </c>
      <c r="B276" s="454" t="s">
        <v>2408</v>
      </c>
      <c r="C276" s="469" t="s">
        <v>2346</v>
      </c>
      <c r="D276" s="456" t="s">
        <v>248</v>
      </c>
      <c r="E276" s="457" t="s">
        <v>2409</v>
      </c>
      <c r="F276" s="458">
        <v>1</v>
      </c>
      <c r="G276" s="454" t="s">
        <v>247</v>
      </c>
      <c r="H276" s="460"/>
      <c r="I276" s="460" t="s">
        <v>251</v>
      </c>
      <c r="J276" s="460"/>
      <c r="K276" s="460" t="s">
        <v>1533</v>
      </c>
      <c r="L276" s="460">
        <v>60004987</v>
      </c>
      <c r="M276" s="461">
        <v>45615</v>
      </c>
      <c r="N276" s="461" t="s">
        <v>253</v>
      </c>
      <c r="O276" s="516" t="s">
        <v>2313</v>
      </c>
      <c r="P276" s="463" t="str">
        <f>IF(LEFT(B276,5)="09735",
    IF(ISNA(VLOOKUP(Tabla13[[#This Row],[Apoyo]],'LM SAP'!A:G,1,FALSE)),
        "No Disponible",
        IF(VLOOKUP(Tabla13[[#This Row],[Apoyo]],'LM SAP'!A:AD,9,FALSE)="RR",
            "Disponible",
            "Firmas SAP"
        )
    ),
    "CONSULTAR"
)</f>
        <v>No Disponible</v>
      </c>
      <c r="Q276" s="460" t="str">
        <f>MID(Tabla13[[#This Row],[Código Indra]],1,13)</f>
        <v>0973544330140</v>
      </c>
      <c r="R276" s="464" t="str">
        <f>IF(ISNA(VLOOKUP(Tabla13[[#This Row],[Código Indra]],#REF!,1,FALSE)),"NO", "SI")</f>
        <v>SI</v>
      </c>
      <c r="S276" s="460" t="str">
        <f>IF(ISNA(VLOOKUP(Tabla13[[#This Row],[Código Indra]],Tabla132[[Código INDRA]:[Nombre]],1,FALSE)),"NO", "SI")</f>
        <v>NO</v>
      </c>
      <c r="T276" s="465" t="s">
        <v>2005</v>
      </c>
      <c r="U276" s="464" t="s">
        <v>256</v>
      </c>
      <c r="V276" s="464" t="e">
        <f>VLOOKUP(Tabla13[[#This Row],[Apoyo]],'LM SAP'!A:I,9,FALSE)</f>
        <v>#N/A</v>
      </c>
      <c r="X276" s="466">
        <v>0</v>
      </c>
      <c r="Y276" s="464">
        <f>Tabla13[[#This Row],[ID]]</f>
        <v>265</v>
      </c>
    </row>
    <row r="277" spans="1:25" s="464" customFormat="1" ht="36" x14ac:dyDescent="0.25">
      <c r="A277" s="453">
        <v>266</v>
      </c>
      <c r="B277" s="454" t="s">
        <v>2410</v>
      </c>
      <c r="C277" s="469" t="s">
        <v>2349</v>
      </c>
      <c r="D277" s="456" t="s">
        <v>248</v>
      </c>
      <c r="E277" s="457" t="s">
        <v>2411</v>
      </c>
      <c r="F277" s="458">
        <v>1</v>
      </c>
      <c r="G277" s="514" t="s">
        <v>247</v>
      </c>
      <c r="H277" s="460"/>
      <c r="I277" s="460" t="s">
        <v>251</v>
      </c>
      <c r="J277" s="460"/>
      <c r="K277" s="460" t="s">
        <v>1533</v>
      </c>
      <c r="L277" s="460">
        <v>60004987</v>
      </c>
      <c r="M277" s="461">
        <v>45615</v>
      </c>
      <c r="N277" s="461" t="s">
        <v>253</v>
      </c>
      <c r="O277" s="516" t="s">
        <v>2313</v>
      </c>
      <c r="P277" s="463" t="str">
        <f>IF(LEFT(B277,5)="09735",
    IF(ISNA(VLOOKUP(Tabla13[[#This Row],[Apoyo]],'LM SAP'!A:G,1,FALSE)),
        "No Disponible",
        IF(VLOOKUP(Tabla13[[#This Row],[Apoyo]],'LM SAP'!A:AD,9,FALSE)="RR",
            "Disponible",
            "Firmas SAP"
        )
    ),
    "CONSULTAR"
)</f>
        <v>No Disponible</v>
      </c>
      <c r="Q277" s="460" t="str">
        <f>MID(Tabla13[[#This Row],[Código Indra]],1,13)</f>
        <v>0973544330151</v>
      </c>
      <c r="R277" s="464" t="str">
        <f>IF(ISNA(VLOOKUP(Tabla13[[#This Row],[Código Indra]],#REF!,1,FALSE)),"NO", "SI")</f>
        <v>SI</v>
      </c>
      <c r="S277" s="460" t="str">
        <f>IF(ISNA(VLOOKUP(Tabla13[[#This Row],[Código Indra]],Tabla132[[Código INDRA]:[Nombre]],1,FALSE)),"NO", "SI")</f>
        <v>NO</v>
      </c>
      <c r="T277" s="465" t="s">
        <v>2005</v>
      </c>
      <c r="U277" s="464" t="s">
        <v>256</v>
      </c>
      <c r="V277" s="464" t="e">
        <f>VLOOKUP(Tabla13[[#This Row],[Apoyo]],'LM SAP'!A:I,9,FALSE)</f>
        <v>#N/A</v>
      </c>
      <c r="X277" s="466">
        <v>0</v>
      </c>
      <c r="Y277" s="464">
        <f>Tabla13[[#This Row],[ID]]</f>
        <v>266</v>
      </c>
    </row>
    <row r="278" spans="1:25" s="464" customFormat="1" ht="36" x14ac:dyDescent="0.25">
      <c r="A278" s="453">
        <v>267</v>
      </c>
      <c r="B278" s="454" t="s">
        <v>2412</v>
      </c>
      <c r="C278" s="469" t="s">
        <v>2315</v>
      </c>
      <c r="D278" s="456" t="s">
        <v>248</v>
      </c>
      <c r="E278" s="457" t="s">
        <v>2413</v>
      </c>
      <c r="F278" s="458">
        <v>1</v>
      </c>
      <c r="G278" s="514" t="s">
        <v>247</v>
      </c>
      <c r="H278" s="460"/>
      <c r="I278" s="460" t="s">
        <v>251</v>
      </c>
      <c r="J278" s="460"/>
      <c r="K278" s="460" t="s">
        <v>1533</v>
      </c>
      <c r="L278" s="460">
        <v>60004987</v>
      </c>
      <c r="M278" s="461">
        <v>45615</v>
      </c>
      <c r="N278" s="461" t="s">
        <v>253</v>
      </c>
      <c r="O278" s="516" t="s">
        <v>2313</v>
      </c>
      <c r="P278" s="463" t="str">
        <f>IF(LEFT(B278,5)="09735",
    IF(ISNA(VLOOKUP(Tabla13[[#This Row],[Apoyo]],'LM SAP'!A:G,1,FALSE)),
        "No Disponible",
        IF(VLOOKUP(Tabla13[[#This Row],[Apoyo]],'LM SAP'!A:AD,9,FALSE)="RR",
            "Disponible",
            "Firmas SAP"
        )
    ),
    "CONSULTAR"
)</f>
        <v>Disponible</v>
      </c>
      <c r="Q278" s="460" t="str">
        <f>MID(Tabla13[[#This Row],[Código Indra]],1,13)</f>
        <v>0973544330152</v>
      </c>
      <c r="R278" s="464" t="str">
        <f>IF(ISNA(VLOOKUP(Tabla13[[#This Row],[Código Indra]],#REF!,1,FALSE)),"NO", "SI")</f>
        <v>SI</v>
      </c>
      <c r="S278" s="460" t="str">
        <f>IF(ISNA(VLOOKUP(Tabla13[[#This Row],[Código Indra]],Tabla132[[Código INDRA]:[Nombre]],1,FALSE)),"NO", "SI")</f>
        <v>NO</v>
      </c>
      <c r="T278" s="465" t="s">
        <v>2005</v>
      </c>
      <c r="U278" s="464" t="s">
        <v>256</v>
      </c>
      <c r="V278" s="464" t="str">
        <f>VLOOKUP(Tabla13[[#This Row],[Apoyo]],'LM SAP'!A:I,9,FALSE)</f>
        <v>RR</v>
      </c>
      <c r="X278" s="466">
        <v>0</v>
      </c>
      <c r="Y278" s="464">
        <f>Tabla13[[#This Row],[ID]]</f>
        <v>267</v>
      </c>
    </row>
    <row r="279" spans="1:25" s="464" customFormat="1" ht="36" x14ac:dyDescent="0.25">
      <c r="A279" s="453">
        <v>268</v>
      </c>
      <c r="B279" s="454" t="s">
        <v>2414</v>
      </c>
      <c r="C279" s="469" t="s">
        <v>2318</v>
      </c>
      <c r="D279" s="456" t="s">
        <v>248</v>
      </c>
      <c r="E279" s="457" t="s">
        <v>2415</v>
      </c>
      <c r="F279" s="458">
        <v>1</v>
      </c>
      <c r="G279" s="514" t="s">
        <v>247</v>
      </c>
      <c r="H279" s="460"/>
      <c r="I279" s="460" t="s">
        <v>251</v>
      </c>
      <c r="J279" s="460"/>
      <c r="K279" s="460" t="s">
        <v>1533</v>
      </c>
      <c r="L279" s="460">
        <v>60004987</v>
      </c>
      <c r="M279" s="461">
        <v>45615</v>
      </c>
      <c r="N279" s="461" t="s">
        <v>253</v>
      </c>
      <c r="O279" s="516" t="s">
        <v>2313</v>
      </c>
      <c r="P279" s="463" t="str">
        <f>IF(LEFT(B279,5)="09735",
    IF(ISNA(VLOOKUP(Tabla13[[#This Row],[Apoyo]],'LM SAP'!A:G,1,FALSE)),
        "No Disponible",
        IF(VLOOKUP(Tabla13[[#This Row],[Apoyo]],'LM SAP'!A:AD,9,FALSE)="RR",
            "Disponible",
            "Firmas SAP"
        )
    ),
    "CONSULTAR"
)</f>
        <v>Disponible</v>
      </c>
      <c r="Q279" s="460" t="str">
        <f>MID(Tabla13[[#This Row],[Código Indra]],1,13)</f>
        <v>0973544330153</v>
      </c>
      <c r="R279" s="464" t="str">
        <f>IF(ISNA(VLOOKUP(Tabla13[[#This Row],[Código Indra]],#REF!,1,FALSE)),"NO", "SI")</f>
        <v>SI</v>
      </c>
      <c r="S279" s="460" t="str">
        <f>IF(ISNA(VLOOKUP(Tabla13[[#This Row],[Código Indra]],Tabla132[[Código INDRA]:[Nombre]],1,FALSE)),"NO", "SI")</f>
        <v>NO</v>
      </c>
      <c r="T279" s="465" t="s">
        <v>2005</v>
      </c>
      <c r="U279" s="464" t="s">
        <v>256</v>
      </c>
      <c r="V279" s="464" t="str">
        <f>VLOOKUP(Tabla13[[#This Row],[Apoyo]],'LM SAP'!A:I,9,FALSE)</f>
        <v>RR</v>
      </c>
      <c r="X279" s="466">
        <v>0</v>
      </c>
      <c r="Y279" s="464">
        <f>Tabla13[[#This Row],[ID]]</f>
        <v>268</v>
      </c>
    </row>
    <row r="280" spans="1:25" s="464" customFormat="1" ht="36" x14ac:dyDescent="0.25">
      <c r="A280" s="453">
        <v>269</v>
      </c>
      <c r="B280" s="454" t="s">
        <v>2416</v>
      </c>
      <c r="C280" s="469" t="s">
        <v>2349</v>
      </c>
      <c r="D280" s="456" t="s">
        <v>248</v>
      </c>
      <c r="E280" s="457" t="s">
        <v>2417</v>
      </c>
      <c r="F280" s="458">
        <v>1</v>
      </c>
      <c r="G280" s="514" t="s">
        <v>247</v>
      </c>
      <c r="H280" s="460"/>
      <c r="I280" s="460" t="s">
        <v>251</v>
      </c>
      <c r="J280" s="460"/>
      <c r="K280" s="460" t="s">
        <v>1533</v>
      </c>
      <c r="L280" s="460">
        <v>60004987</v>
      </c>
      <c r="M280" s="461">
        <v>45615</v>
      </c>
      <c r="N280" s="461" t="s">
        <v>253</v>
      </c>
      <c r="O280" s="516" t="s">
        <v>2313</v>
      </c>
      <c r="P280" s="463" t="str">
        <f>IF(LEFT(B280,5)="09735",
    IF(ISNA(VLOOKUP(Tabla13[[#This Row],[Apoyo]],'LM SAP'!A:G,1,FALSE)),
        "No Disponible",
        IF(VLOOKUP(Tabla13[[#This Row],[Apoyo]],'LM SAP'!A:AD,9,FALSE)="RR",
            "Disponible",
            "Firmas SAP"
        )
    ),
    "CONSULTAR"
)</f>
        <v>Disponible</v>
      </c>
      <c r="Q280" s="460" t="str">
        <f>MID(Tabla13[[#This Row],[Código Indra]],1,13)</f>
        <v>0973544330154</v>
      </c>
      <c r="R280" s="464" t="str">
        <f>IF(ISNA(VLOOKUP(Tabla13[[#This Row],[Código Indra]],#REF!,1,FALSE)),"NO", "SI")</f>
        <v>SI</v>
      </c>
      <c r="S280" s="460" t="str">
        <f>IF(ISNA(VLOOKUP(Tabla13[[#This Row],[Código Indra]],Tabla132[[Código INDRA]:[Nombre]],1,FALSE)),"NO", "SI")</f>
        <v>NO</v>
      </c>
      <c r="T280" s="465" t="s">
        <v>2005</v>
      </c>
      <c r="U280" s="464" t="s">
        <v>256</v>
      </c>
      <c r="V280" s="464" t="str">
        <f>VLOOKUP(Tabla13[[#This Row],[Apoyo]],'LM SAP'!A:I,9,FALSE)</f>
        <v>RR</v>
      </c>
      <c r="X280" s="466">
        <v>0</v>
      </c>
      <c r="Y280" s="464">
        <f>Tabla13[[#This Row],[ID]]</f>
        <v>269</v>
      </c>
    </row>
    <row r="281" spans="1:25" s="464" customFormat="1" ht="36" x14ac:dyDescent="0.25">
      <c r="A281" s="453">
        <v>270</v>
      </c>
      <c r="B281" s="454" t="s">
        <v>2418</v>
      </c>
      <c r="C281" s="469" t="s">
        <v>2419</v>
      </c>
      <c r="D281" s="456" t="s">
        <v>248</v>
      </c>
      <c r="E281" s="457" t="s">
        <v>2420</v>
      </c>
      <c r="F281" s="458">
        <v>1</v>
      </c>
      <c r="G281" s="514" t="s">
        <v>247</v>
      </c>
      <c r="H281" s="460"/>
      <c r="I281" s="460" t="s">
        <v>251</v>
      </c>
      <c r="J281" s="460"/>
      <c r="K281" s="460" t="s">
        <v>1533</v>
      </c>
      <c r="L281" s="460">
        <v>60004987</v>
      </c>
      <c r="M281" s="461">
        <v>45615</v>
      </c>
      <c r="N281" s="461" t="s">
        <v>253</v>
      </c>
      <c r="O281" s="516" t="s">
        <v>2313</v>
      </c>
      <c r="P281" s="463" t="str">
        <f>IF(LEFT(B281,5)="09735",
    IF(ISNA(VLOOKUP(Tabla13[[#This Row],[Apoyo]],'LM SAP'!A:G,1,FALSE)),
        "No Disponible",
        IF(VLOOKUP(Tabla13[[#This Row],[Apoyo]],'LM SAP'!A:AD,9,FALSE)="RR",
            "Disponible",
            "Firmas SAP"
        )
    ),
    "CONSULTAR"
)</f>
        <v>No Disponible</v>
      </c>
      <c r="Q281" s="460" t="str">
        <f>MID(Tabla13[[#This Row],[Código Indra]],1,13)</f>
        <v>0973544330155</v>
      </c>
      <c r="R281" s="464" t="str">
        <f>IF(ISNA(VLOOKUP(Tabla13[[#This Row],[Código Indra]],#REF!,1,FALSE)),"NO", "SI")</f>
        <v>SI</v>
      </c>
      <c r="S281" s="460" t="str">
        <f>IF(ISNA(VLOOKUP(Tabla13[[#This Row],[Código Indra]],Tabla132[[Código INDRA]:[Nombre]],1,FALSE)),"NO", "SI")</f>
        <v>NO</v>
      </c>
      <c r="T281" s="465" t="s">
        <v>2005</v>
      </c>
      <c r="U281" s="464" t="s">
        <v>256</v>
      </c>
      <c r="V281" s="464" t="e">
        <f>VLOOKUP(Tabla13[[#This Row],[Apoyo]],'LM SAP'!A:I,9,FALSE)</f>
        <v>#N/A</v>
      </c>
      <c r="X281" s="466">
        <v>0</v>
      </c>
      <c r="Y281" s="464">
        <f>Tabla13[[#This Row],[ID]]</f>
        <v>270</v>
      </c>
    </row>
    <row r="282" spans="1:25" s="464" customFormat="1" ht="36" x14ac:dyDescent="0.25">
      <c r="A282" s="453">
        <v>271</v>
      </c>
      <c r="B282" s="454" t="s">
        <v>2421</v>
      </c>
      <c r="C282" s="469" t="s">
        <v>2422</v>
      </c>
      <c r="D282" s="456" t="s">
        <v>248</v>
      </c>
      <c r="E282" s="457" t="s">
        <v>2423</v>
      </c>
      <c r="F282" s="458">
        <v>1</v>
      </c>
      <c r="G282" s="514" t="s">
        <v>247</v>
      </c>
      <c r="H282" s="460"/>
      <c r="I282" s="460" t="s">
        <v>251</v>
      </c>
      <c r="J282" s="460"/>
      <c r="K282" s="460" t="s">
        <v>1533</v>
      </c>
      <c r="L282" s="460">
        <v>60004987</v>
      </c>
      <c r="M282" s="461">
        <v>45615</v>
      </c>
      <c r="N282" s="461" t="s">
        <v>253</v>
      </c>
      <c r="O282" s="516" t="s">
        <v>2313</v>
      </c>
      <c r="P282" s="463" t="str">
        <f>IF(LEFT(B282,5)="09735",
    IF(ISNA(VLOOKUP(Tabla13[[#This Row],[Apoyo]],'LM SAP'!A:G,1,FALSE)),
        "No Disponible",
        IF(VLOOKUP(Tabla13[[#This Row],[Apoyo]],'LM SAP'!A:AD,9,FALSE)="RR",
            "Disponible",
            "Firmas SAP"
        )
    ),
    "CONSULTAR"
)</f>
        <v>Disponible</v>
      </c>
      <c r="Q282" s="460" t="str">
        <f>MID(Tabla13[[#This Row],[Código Indra]],1,13)</f>
        <v>0973544330156</v>
      </c>
      <c r="R282" s="464" t="str">
        <f>IF(ISNA(VLOOKUP(Tabla13[[#This Row],[Código Indra]],#REF!,1,FALSE)),"NO", "SI")</f>
        <v>SI</v>
      </c>
      <c r="S282" s="460" t="str">
        <f>IF(ISNA(VLOOKUP(Tabla13[[#This Row],[Código Indra]],Tabla132[[Código INDRA]:[Nombre]],1,FALSE)),"NO", "SI")</f>
        <v>NO</v>
      </c>
      <c r="T282" s="465" t="s">
        <v>2005</v>
      </c>
      <c r="U282" s="464" t="s">
        <v>256</v>
      </c>
      <c r="V282" s="464" t="str">
        <f>VLOOKUP(Tabla13[[#This Row],[Apoyo]],'LM SAP'!A:I,9,FALSE)</f>
        <v>RR</v>
      </c>
      <c r="X282" s="466">
        <v>0</v>
      </c>
      <c r="Y282" s="464">
        <f>Tabla13[[#This Row],[ID]]</f>
        <v>271</v>
      </c>
    </row>
    <row r="283" spans="1:25" s="464" customFormat="1" ht="36" x14ac:dyDescent="0.25">
      <c r="A283" s="453">
        <v>272</v>
      </c>
      <c r="B283" s="454" t="s">
        <v>2424</v>
      </c>
      <c r="C283" s="469" t="s">
        <v>2425</v>
      </c>
      <c r="D283" s="456" t="s">
        <v>248</v>
      </c>
      <c r="E283" s="457" t="s">
        <v>2426</v>
      </c>
      <c r="F283" s="458">
        <v>1</v>
      </c>
      <c r="G283" s="514" t="s">
        <v>247</v>
      </c>
      <c r="H283" s="460"/>
      <c r="I283" s="460" t="s">
        <v>251</v>
      </c>
      <c r="J283" s="460"/>
      <c r="K283" s="460" t="s">
        <v>1533</v>
      </c>
      <c r="L283" s="460">
        <v>60004987</v>
      </c>
      <c r="M283" s="461">
        <v>45615</v>
      </c>
      <c r="N283" s="461" t="s">
        <v>253</v>
      </c>
      <c r="O283" s="516" t="s">
        <v>2313</v>
      </c>
      <c r="P283" s="463" t="str">
        <f>IF(LEFT(B283,5)="09735",
    IF(ISNA(VLOOKUP(Tabla13[[#This Row],[Apoyo]],'LM SAP'!A:G,1,FALSE)),
        "No Disponible",
        IF(VLOOKUP(Tabla13[[#This Row],[Apoyo]],'LM SAP'!A:AD,9,FALSE)="RR",
            "Disponible",
            "Firmas SAP"
        )
    ),
    "CONSULTAR"
)</f>
        <v>Disponible</v>
      </c>
      <c r="Q283" s="460" t="str">
        <f>MID(Tabla13[[#This Row],[Código Indra]],1,13)</f>
        <v>0973544330157</v>
      </c>
      <c r="R283" s="464" t="str">
        <f>IF(ISNA(VLOOKUP(Tabla13[[#This Row],[Código Indra]],#REF!,1,FALSE)),"NO", "SI")</f>
        <v>SI</v>
      </c>
      <c r="S283" s="460" t="str">
        <f>IF(ISNA(VLOOKUP(Tabla13[[#This Row],[Código Indra]],Tabla132[[Código INDRA]:[Nombre]],1,FALSE)),"NO", "SI")</f>
        <v>NO</v>
      </c>
      <c r="T283" s="465" t="s">
        <v>2005</v>
      </c>
      <c r="U283" s="464" t="s">
        <v>256</v>
      </c>
      <c r="V283" s="464" t="str">
        <f>VLOOKUP(Tabla13[[#This Row],[Apoyo]],'LM SAP'!A:I,9,FALSE)</f>
        <v>RR</v>
      </c>
      <c r="X283" s="466">
        <v>0</v>
      </c>
      <c r="Y283" s="464">
        <f>Tabla13[[#This Row],[ID]]</f>
        <v>272</v>
      </c>
    </row>
    <row r="284" spans="1:25" s="464" customFormat="1" ht="36" x14ac:dyDescent="0.25">
      <c r="A284" s="453">
        <v>273</v>
      </c>
      <c r="B284" s="454" t="s">
        <v>2427</v>
      </c>
      <c r="C284" s="469" t="s">
        <v>2428</v>
      </c>
      <c r="D284" s="456" t="s">
        <v>248</v>
      </c>
      <c r="E284" s="457" t="s">
        <v>2429</v>
      </c>
      <c r="F284" s="458">
        <v>1</v>
      </c>
      <c r="G284" s="514" t="s">
        <v>247</v>
      </c>
      <c r="H284" s="460"/>
      <c r="I284" s="460" t="s">
        <v>251</v>
      </c>
      <c r="J284" s="460"/>
      <c r="K284" s="460" t="s">
        <v>1533</v>
      </c>
      <c r="L284" s="460">
        <v>60004987</v>
      </c>
      <c r="M284" s="461">
        <v>45615</v>
      </c>
      <c r="N284" s="461" t="s">
        <v>253</v>
      </c>
      <c r="O284" s="516" t="s">
        <v>2313</v>
      </c>
      <c r="P284" s="463" t="str">
        <f>IF(LEFT(B284,5)="09735",
    IF(ISNA(VLOOKUP(Tabla13[[#This Row],[Apoyo]],'LM SAP'!A:G,1,FALSE)),
        "No Disponible",
        IF(VLOOKUP(Tabla13[[#This Row],[Apoyo]],'LM SAP'!A:AD,9,FALSE)="RR",
            "Disponible",
            "Firmas SAP"
        )
    ),
    "CONSULTAR"
)</f>
        <v>Disponible</v>
      </c>
      <c r="Q284" s="460" t="str">
        <f>MID(Tabla13[[#This Row],[Código Indra]],1,13)</f>
        <v>0973544330158</v>
      </c>
      <c r="R284" s="464" t="str">
        <f>IF(ISNA(VLOOKUP(Tabla13[[#This Row],[Código Indra]],#REF!,1,FALSE)),"NO", "SI")</f>
        <v>SI</v>
      </c>
      <c r="S284" s="460" t="str">
        <f>IF(ISNA(VLOOKUP(Tabla13[[#This Row],[Código Indra]],Tabla132[[Código INDRA]:[Nombre]],1,FALSE)),"NO", "SI")</f>
        <v>NO</v>
      </c>
      <c r="T284" s="465" t="s">
        <v>2005</v>
      </c>
      <c r="U284" s="464" t="s">
        <v>256</v>
      </c>
      <c r="V284" s="464" t="str">
        <f>VLOOKUP(Tabla13[[#This Row],[Apoyo]],'LM SAP'!A:I,9,FALSE)</f>
        <v>RR</v>
      </c>
      <c r="X284" s="466">
        <v>0</v>
      </c>
      <c r="Y284" s="464">
        <f>Tabla13[[#This Row],[ID]]</f>
        <v>273</v>
      </c>
    </row>
    <row r="285" spans="1:25" s="464" customFormat="1" ht="36" x14ac:dyDescent="0.25">
      <c r="A285" s="453">
        <v>274</v>
      </c>
      <c r="B285" s="454" t="s">
        <v>2430</v>
      </c>
      <c r="C285" s="469" t="s">
        <v>2431</v>
      </c>
      <c r="D285" s="456" t="s">
        <v>248</v>
      </c>
      <c r="E285" s="457" t="s">
        <v>2432</v>
      </c>
      <c r="F285" s="458">
        <v>1</v>
      </c>
      <c r="G285" s="514" t="s">
        <v>247</v>
      </c>
      <c r="H285" s="460"/>
      <c r="I285" s="460" t="s">
        <v>251</v>
      </c>
      <c r="J285" s="460"/>
      <c r="K285" s="460" t="s">
        <v>1533</v>
      </c>
      <c r="L285" s="460">
        <v>60004987</v>
      </c>
      <c r="M285" s="461">
        <v>45615</v>
      </c>
      <c r="N285" s="461" t="s">
        <v>253</v>
      </c>
      <c r="O285" s="516" t="s">
        <v>2313</v>
      </c>
      <c r="P285" s="463" t="str">
        <f>IF(LEFT(B285,5)="09735",
    IF(ISNA(VLOOKUP(Tabla13[[#This Row],[Apoyo]],'LM SAP'!A:G,1,FALSE)),
        "No Disponible",
        IF(VLOOKUP(Tabla13[[#This Row],[Apoyo]],'LM SAP'!A:AD,9,FALSE)="RR",
            "Disponible",
            "Firmas SAP"
        )
    ),
    "CONSULTAR"
)</f>
        <v>Disponible</v>
      </c>
      <c r="Q285" s="460" t="str">
        <f>MID(Tabla13[[#This Row],[Código Indra]],1,13)</f>
        <v>0973544330159</v>
      </c>
      <c r="R285" s="464" t="str">
        <f>IF(ISNA(VLOOKUP(Tabla13[[#This Row],[Código Indra]],#REF!,1,FALSE)),"NO", "SI")</f>
        <v>SI</v>
      </c>
      <c r="S285" s="460" t="str">
        <f>IF(ISNA(VLOOKUP(Tabla13[[#This Row],[Código Indra]],Tabla132[[Código INDRA]:[Nombre]],1,FALSE)),"NO", "SI")</f>
        <v>NO</v>
      </c>
      <c r="T285" s="465" t="s">
        <v>2005</v>
      </c>
      <c r="U285" s="464" t="s">
        <v>256</v>
      </c>
      <c r="V285" s="464" t="str">
        <f>VLOOKUP(Tabla13[[#This Row],[Apoyo]],'LM SAP'!A:I,9,FALSE)</f>
        <v>RR</v>
      </c>
      <c r="X285" s="466">
        <v>0</v>
      </c>
      <c r="Y285" s="464">
        <f>Tabla13[[#This Row],[ID]]</f>
        <v>274</v>
      </c>
    </row>
    <row r="286" spans="1:25" s="464" customFormat="1" ht="36" x14ac:dyDescent="0.25">
      <c r="A286" s="453">
        <v>275</v>
      </c>
      <c r="B286" s="454" t="s">
        <v>2433</v>
      </c>
      <c r="C286" s="469" t="s">
        <v>2434</v>
      </c>
      <c r="D286" s="456" t="s">
        <v>248</v>
      </c>
      <c r="E286" s="457" t="s">
        <v>2435</v>
      </c>
      <c r="F286" s="458">
        <v>1</v>
      </c>
      <c r="G286" s="514" t="s">
        <v>247</v>
      </c>
      <c r="H286" s="460"/>
      <c r="I286" s="460" t="s">
        <v>251</v>
      </c>
      <c r="J286" s="460"/>
      <c r="K286" s="460" t="s">
        <v>1533</v>
      </c>
      <c r="L286" s="460">
        <v>60004987</v>
      </c>
      <c r="M286" s="461">
        <v>45615</v>
      </c>
      <c r="N286" s="461" t="s">
        <v>253</v>
      </c>
      <c r="O286" s="516" t="s">
        <v>2313</v>
      </c>
      <c r="P286" s="463" t="str">
        <f>IF(LEFT(B286,5)="09735",
    IF(ISNA(VLOOKUP(Tabla13[[#This Row],[Apoyo]],'LM SAP'!A:G,1,FALSE)),
        "No Disponible",
        IF(VLOOKUP(Tabla13[[#This Row],[Apoyo]],'LM SAP'!A:AD,9,FALSE)="RR",
            "Disponible",
            "Firmas SAP"
        )
    ),
    "CONSULTAR"
)</f>
        <v>Disponible</v>
      </c>
      <c r="Q286" s="460" t="str">
        <f>MID(Tabla13[[#This Row],[Código Indra]],1,13)</f>
        <v>0973544330160</v>
      </c>
      <c r="R286" s="464" t="str">
        <f>IF(ISNA(VLOOKUP(Tabla13[[#This Row],[Código Indra]],#REF!,1,FALSE)),"NO", "SI")</f>
        <v>SI</v>
      </c>
      <c r="S286" s="460" t="str">
        <f>IF(ISNA(VLOOKUP(Tabla13[[#This Row],[Código Indra]],Tabla132[[Código INDRA]:[Nombre]],1,FALSE)),"NO", "SI")</f>
        <v>NO</v>
      </c>
      <c r="T286" s="465" t="s">
        <v>2005</v>
      </c>
      <c r="U286" s="464" t="s">
        <v>256</v>
      </c>
      <c r="V286" s="464" t="str">
        <f>VLOOKUP(Tabla13[[#This Row],[Apoyo]],'LM SAP'!A:I,9,FALSE)</f>
        <v>RR</v>
      </c>
      <c r="X286" s="466">
        <v>0</v>
      </c>
      <c r="Y286" s="464">
        <f>Tabla13[[#This Row],[ID]]</f>
        <v>275</v>
      </c>
    </row>
    <row r="287" spans="1:25" s="464" customFormat="1" ht="36" x14ac:dyDescent="0.25">
      <c r="A287" s="453">
        <v>276</v>
      </c>
      <c r="B287" s="454" t="s">
        <v>2436</v>
      </c>
      <c r="C287" s="469" t="s">
        <v>2437</v>
      </c>
      <c r="D287" s="456" t="s">
        <v>248</v>
      </c>
      <c r="E287" s="457" t="s">
        <v>2438</v>
      </c>
      <c r="F287" s="458">
        <v>1</v>
      </c>
      <c r="G287" s="514" t="s">
        <v>247</v>
      </c>
      <c r="H287" s="460"/>
      <c r="I287" s="460" t="s">
        <v>251</v>
      </c>
      <c r="J287" s="460"/>
      <c r="K287" s="460" t="s">
        <v>1533</v>
      </c>
      <c r="L287" s="460">
        <v>60004987</v>
      </c>
      <c r="M287" s="461">
        <v>45615</v>
      </c>
      <c r="N287" s="461" t="s">
        <v>253</v>
      </c>
      <c r="O287" s="531" t="s">
        <v>2313</v>
      </c>
      <c r="P287" s="463" t="str">
        <f>IF(LEFT(B287,5)="09735",
    IF(ISNA(VLOOKUP(Tabla13[[#This Row],[Apoyo]],'LM SAP'!A:G,1,FALSE)),
        "No Disponible",
        IF(VLOOKUP(Tabla13[[#This Row],[Apoyo]],'LM SAP'!A:AD,9,FALSE)="RR",
            "Disponible",
            "Firmas SAP"
        )
    ),
    "CONSULTAR"
)</f>
        <v>Disponible</v>
      </c>
      <c r="Q287" s="460" t="str">
        <f>MID(Tabla13[[#This Row],[Código Indra]],1,13)</f>
        <v>0973544330161</v>
      </c>
      <c r="R287" s="464" t="str">
        <f>IF(ISNA(VLOOKUP(Tabla13[[#This Row],[Código Indra]],#REF!,1,FALSE)),"NO", "SI")</f>
        <v>SI</v>
      </c>
      <c r="S287" s="460" t="str">
        <f>IF(ISNA(VLOOKUP(Tabla13[[#This Row],[Código Indra]],Tabla132[[Código INDRA]:[Nombre]],1,FALSE)),"NO", "SI")</f>
        <v>NO</v>
      </c>
      <c r="T287" s="465" t="s">
        <v>2005</v>
      </c>
      <c r="U287" s="464" t="s">
        <v>256</v>
      </c>
      <c r="V287" s="464" t="str">
        <f>VLOOKUP(Tabla13[[#This Row],[Apoyo]],'LM SAP'!A:I,9,FALSE)</f>
        <v>RR</v>
      </c>
      <c r="X287" s="466">
        <v>0</v>
      </c>
      <c r="Y287" s="464">
        <f>Tabla13[[#This Row],[ID]]</f>
        <v>276</v>
      </c>
    </row>
    <row r="288" spans="1:25" s="464" customFormat="1" ht="36" x14ac:dyDescent="0.25">
      <c r="A288" s="453">
        <v>277</v>
      </c>
      <c r="B288" s="454" t="s">
        <v>2439</v>
      </c>
      <c r="C288" s="469" t="s">
        <v>2440</v>
      </c>
      <c r="D288" s="456" t="s">
        <v>248</v>
      </c>
      <c r="E288" s="457" t="s">
        <v>2441</v>
      </c>
      <c r="F288" s="458">
        <v>1</v>
      </c>
      <c r="G288" s="454" t="s">
        <v>247</v>
      </c>
      <c r="H288" s="460"/>
      <c r="I288" s="460" t="s">
        <v>251</v>
      </c>
      <c r="J288" s="460"/>
      <c r="K288" s="460" t="s">
        <v>1533</v>
      </c>
      <c r="L288" s="460">
        <v>60004987</v>
      </c>
      <c r="M288" s="461">
        <v>45615</v>
      </c>
      <c r="N288" s="461" t="s">
        <v>253</v>
      </c>
      <c r="O288" s="516" t="s">
        <v>2313</v>
      </c>
      <c r="P288" s="463" t="str">
        <f>IF(LEFT(B288,5)="09735",
    IF(ISNA(VLOOKUP(Tabla13[[#This Row],[Apoyo]],'LM SAP'!A:G,1,FALSE)),
        "No Disponible",
        IF(VLOOKUP(Tabla13[[#This Row],[Apoyo]],'LM SAP'!A:AD,9,FALSE)="RR",
            "Disponible",
            "Firmas SAP"
        )
    ),
    "CONSULTAR"
)</f>
        <v>Disponible</v>
      </c>
      <c r="Q288" s="460" t="str">
        <f>MID(Tabla13[[#This Row],[Código Indra]],1,13)</f>
        <v>0973544330162</v>
      </c>
      <c r="R288" s="464" t="str">
        <f>IF(ISNA(VLOOKUP(Tabla13[[#This Row],[Código Indra]],#REF!,1,FALSE)),"NO", "SI")</f>
        <v>SI</v>
      </c>
      <c r="S288" s="460" t="str">
        <f>IF(ISNA(VLOOKUP(Tabla13[[#This Row],[Código Indra]],Tabla132[[Código INDRA]:[Nombre]],1,FALSE)),"NO", "SI")</f>
        <v>NO</v>
      </c>
      <c r="T288" s="465" t="s">
        <v>2005</v>
      </c>
      <c r="U288" s="464" t="s">
        <v>256</v>
      </c>
      <c r="V288" s="464" t="str">
        <f>VLOOKUP(Tabla13[[#This Row],[Apoyo]],'LM SAP'!A:I,9,FALSE)</f>
        <v>RR</v>
      </c>
      <c r="X288" s="466">
        <v>0</v>
      </c>
      <c r="Y288" s="464">
        <f>Tabla13[[#This Row],[ID]]</f>
        <v>277</v>
      </c>
    </row>
    <row r="289" spans="1:25" s="464" customFormat="1" ht="36" x14ac:dyDescent="0.25">
      <c r="A289" s="453">
        <v>278</v>
      </c>
      <c r="B289" s="454" t="s">
        <v>2442</v>
      </c>
      <c r="C289" s="469" t="s">
        <v>2443</v>
      </c>
      <c r="D289" s="456" t="s">
        <v>248</v>
      </c>
      <c r="E289" s="457" t="s">
        <v>2444</v>
      </c>
      <c r="F289" s="458">
        <v>1</v>
      </c>
      <c r="G289" s="532" t="s">
        <v>247</v>
      </c>
      <c r="H289" s="460"/>
      <c r="I289" s="460" t="s">
        <v>251</v>
      </c>
      <c r="J289" s="460"/>
      <c r="K289" s="460" t="s">
        <v>1533</v>
      </c>
      <c r="L289" s="460">
        <v>60004987</v>
      </c>
      <c r="M289" s="461">
        <v>45615</v>
      </c>
      <c r="N289" s="461" t="s">
        <v>253</v>
      </c>
      <c r="O289" s="516" t="s">
        <v>2313</v>
      </c>
      <c r="P289" s="463" t="str">
        <f>IF(LEFT(B289,5)="09735",
    IF(ISNA(VLOOKUP(Tabla13[[#This Row],[Apoyo]],'LM SAP'!A:G,1,FALSE)),
        "No Disponible",
        IF(VLOOKUP(Tabla13[[#This Row],[Apoyo]],'LM SAP'!A:AD,9,FALSE)="RR",
            "Disponible",
            "Firmas SAP"
        )
    ),
    "CONSULTAR"
)</f>
        <v>Disponible</v>
      </c>
      <c r="Q289" s="460" t="str">
        <f>MID(Tabla13[[#This Row],[Código Indra]],1,13)</f>
        <v>0973544330163</v>
      </c>
      <c r="R289" s="464" t="str">
        <f>IF(ISNA(VLOOKUP(Tabla13[[#This Row],[Código Indra]],#REF!,1,FALSE)),"NO", "SI")</f>
        <v>SI</v>
      </c>
      <c r="S289" s="460" t="str">
        <f>IF(ISNA(VLOOKUP(Tabla13[[#This Row],[Código Indra]],Tabla132[[Código INDRA]:[Nombre]],1,FALSE)),"NO", "SI")</f>
        <v>NO</v>
      </c>
      <c r="T289" s="465" t="s">
        <v>2005</v>
      </c>
      <c r="U289" s="464" t="s">
        <v>256</v>
      </c>
      <c r="V289" s="464" t="str">
        <f>VLOOKUP(Tabla13[[#This Row],[Apoyo]],'LM SAP'!A:I,9,FALSE)</f>
        <v>RR</v>
      </c>
      <c r="X289" s="466">
        <v>0</v>
      </c>
      <c r="Y289" s="464">
        <f>Tabla13[[#This Row],[ID]]</f>
        <v>278</v>
      </c>
    </row>
    <row r="290" spans="1:25" s="464" customFormat="1" ht="36" x14ac:dyDescent="0.25">
      <c r="A290" s="453">
        <v>279</v>
      </c>
      <c r="B290" s="454" t="s">
        <v>2445</v>
      </c>
      <c r="C290" s="469" t="s">
        <v>2446</v>
      </c>
      <c r="D290" s="456" t="s">
        <v>248</v>
      </c>
      <c r="E290" s="457" t="s">
        <v>2447</v>
      </c>
      <c r="F290" s="458">
        <v>1</v>
      </c>
      <c r="G290" s="454" t="s">
        <v>247</v>
      </c>
      <c r="H290" s="460"/>
      <c r="I290" s="460" t="s">
        <v>251</v>
      </c>
      <c r="J290" s="460"/>
      <c r="K290" s="460" t="s">
        <v>1533</v>
      </c>
      <c r="L290" s="460">
        <v>60004987</v>
      </c>
      <c r="M290" s="461">
        <v>45615</v>
      </c>
      <c r="N290" s="461" t="s">
        <v>253</v>
      </c>
      <c r="O290" s="516" t="s">
        <v>2313</v>
      </c>
      <c r="P290" s="463" t="str">
        <f>IF(LEFT(B290,5)="09735",
    IF(ISNA(VLOOKUP(Tabla13[[#This Row],[Apoyo]],'LM SAP'!A:G,1,FALSE)),
        "No Disponible",
        IF(VLOOKUP(Tabla13[[#This Row],[Apoyo]],'LM SAP'!A:AD,9,FALSE)="RR",
            "Disponible",
            "Firmas SAP"
        )
    ),
    "CONSULTAR"
)</f>
        <v>Disponible</v>
      </c>
      <c r="Q290" s="460" t="str">
        <f>MID(Tabla13[[#This Row],[Código Indra]],1,13)</f>
        <v>0973544330164</v>
      </c>
      <c r="R290" s="464" t="str">
        <f>IF(ISNA(VLOOKUP(Tabla13[[#This Row],[Código Indra]],#REF!,1,FALSE)),"NO", "SI")</f>
        <v>SI</v>
      </c>
      <c r="S290" s="460" t="str">
        <f>IF(ISNA(VLOOKUP(Tabla13[[#This Row],[Código Indra]],Tabla132[[Código INDRA]:[Nombre]],1,FALSE)),"NO", "SI")</f>
        <v>NO</v>
      </c>
      <c r="T290" s="465" t="s">
        <v>2005</v>
      </c>
      <c r="U290" s="464" t="s">
        <v>256</v>
      </c>
      <c r="V290" s="464" t="str">
        <f>VLOOKUP(Tabla13[[#This Row],[Apoyo]],'LM SAP'!A:I,9,FALSE)</f>
        <v>RR</v>
      </c>
      <c r="X290" s="466">
        <v>0</v>
      </c>
      <c r="Y290" s="464">
        <f>Tabla13[[#This Row],[ID]]</f>
        <v>279</v>
      </c>
    </row>
    <row r="291" spans="1:25" s="464" customFormat="1" ht="36" x14ac:dyDescent="0.25">
      <c r="A291" s="453">
        <v>280</v>
      </c>
      <c r="B291" s="454" t="s">
        <v>2448</v>
      </c>
      <c r="C291" s="469" t="s">
        <v>2449</v>
      </c>
      <c r="D291" s="456" t="s">
        <v>248</v>
      </c>
      <c r="E291" s="457" t="s">
        <v>2450</v>
      </c>
      <c r="F291" s="458">
        <v>1</v>
      </c>
      <c r="G291" s="454" t="s">
        <v>247</v>
      </c>
      <c r="H291" s="460"/>
      <c r="I291" s="460" t="s">
        <v>251</v>
      </c>
      <c r="J291" s="460"/>
      <c r="K291" s="460" t="s">
        <v>1533</v>
      </c>
      <c r="L291" s="460">
        <v>60004987</v>
      </c>
      <c r="M291" s="461">
        <v>45615</v>
      </c>
      <c r="N291" s="461" t="s">
        <v>253</v>
      </c>
      <c r="O291" s="516" t="s">
        <v>2313</v>
      </c>
      <c r="P291" s="463" t="str">
        <f>IF(LEFT(B291,5)="09735",
    IF(ISNA(VLOOKUP(Tabla13[[#This Row],[Apoyo]],'LM SAP'!A:G,1,FALSE)),
        "No Disponible",
        IF(VLOOKUP(Tabla13[[#This Row],[Apoyo]],'LM SAP'!A:AD,9,FALSE)="RR",
            "Disponible",
            "Firmas SAP"
        )
    ),
    "CONSULTAR"
)</f>
        <v>Disponible</v>
      </c>
      <c r="Q291" s="460" t="str">
        <f>MID(Tabla13[[#This Row],[Código Indra]],1,13)</f>
        <v>0973544330165</v>
      </c>
      <c r="R291" s="464" t="str">
        <f>IF(ISNA(VLOOKUP(Tabla13[[#This Row],[Código Indra]],#REF!,1,FALSE)),"NO", "SI")</f>
        <v>SI</v>
      </c>
      <c r="S291" s="460" t="str">
        <f>IF(ISNA(VLOOKUP(Tabla13[[#This Row],[Código Indra]],Tabla132[[Código INDRA]:[Nombre]],1,FALSE)),"NO", "SI")</f>
        <v>NO</v>
      </c>
      <c r="T291" s="465" t="s">
        <v>2005</v>
      </c>
      <c r="U291" s="464" t="s">
        <v>256</v>
      </c>
      <c r="V291" s="464" t="str">
        <f>VLOOKUP(Tabla13[[#This Row],[Apoyo]],'LM SAP'!A:I,9,FALSE)</f>
        <v>RR</v>
      </c>
      <c r="X291" s="466">
        <v>0</v>
      </c>
      <c r="Y291" s="464">
        <f>Tabla13[[#This Row],[ID]]</f>
        <v>280</v>
      </c>
    </row>
    <row r="292" spans="1:25" s="464" customFormat="1" ht="36" x14ac:dyDescent="0.25">
      <c r="A292" s="453">
        <v>281</v>
      </c>
      <c r="B292" s="454" t="s">
        <v>2451</v>
      </c>
      <c r="C292" s="469" t="s">
        <v>2452</v>
      </c>
      <c r="D292" s="456" t="s">
        <v>248</v>
      </c>
      <c r="E292" s="457" t="s">
        <v>2453</v>
      </c>
      <c r="F292" s="458">
        <v>1</v>
      </c>
      <c r="G292" s="454" t="s">
        <v>247</v>
      </c>
      <c r="H292" s="460"/>
      <c r="I292" s="460" t="s">
        <v>251</v>
      </c>
      <c r="J292" s="460"/>
      <c r="K292" s="460" t="s">
        <v>1533</v>
      </c>
      <c r="L292" s="460">
        <v>60004987</v>
      </c>
      <c r="M292" s="461">
        <v>45615</v>
      </c>
      <c r="N292" s="461" t="s">
        <v>253</v>
      </c>
      <c r="O292" s="516" t="s">
        <v>2313</v>
      </c>
      <c r="P292" s="463" t="str">
        <f>IF(LEFT(B292,5)="09735",
    IF(ISNA(VLOOKUP(Tabla13[[#This Row],[Apoyo]],'LM SAP'!A:G,1,FALSE)),
        "No Disponible",
        IF(VLOOKUP(Tabla13[[#This Row],[Apoyo]],'LM SAP'!A:AD,9,FALSE)="RR",
            "Disponible",
            "Firmas SAP"
        )
    ),
    "CONSULTAR"
)</f>
        <v>Disponible</v>
      </c>
      <c r="Q292" s="460" t="str">
        <f>MID(Tabla13[[#This Row],[Código Indra]],1,13)</f>
        <v>0973544330166</v>
      </c>
      <c r="R292" s="464" t="str">
        <f>IF(ISNA(VLOOKUP(Tabla13[[#This Row],[Código Indra]],#REF!,1,FALSE)),"NO", "SI")</f>
        <v>SI</v>
      </c>
      <c r="S292" s="460" t="str">
        <f>IF(ISNA(VLOOKUP(Tabla13[[#This Row],[Código Indra]],Tabla132[[Código INDRA]:[Nombre]],1,FALSE)),"NO", "SI")</f>
        <v>NO</v>
      </c>
      <c r="T292" s="465" t="s">
        <v>2005</v>
      </c>
      <c r="U292" s="464" t="s">
        <v>256</v>
      </c>
      <c r="V292" s="464" t="str">
        <f>VLOOKUP(Tabla13[[#This Row],[Apoyo]],'LM SAP'!A:I,9,FALSE)</f>
        <v>RR</v>
      </c>
      <c r="X292" s="466">
        <v>0</v>
      </c>
      <c r="Y292" s="464">
        <f>Tabla13[[#This Row],[ID]]</f>
        <v>281</v>
      </c>
    </row>
    <row r="293" spans="1:25" s="464" customFormat="1" ht="36" x14ac:dyDescent="0.25">
      <c r="A293" s="453">
        <v>282</v>
      </c>
      <c r="B293" s="454" t="s">
        <v>2454</v>
      </c>
      <c r="C293" s="469" t="s">
        <v>1063</v>
      </c>
      <c r="D293" s="456" t="s">
        <v>248</v>
      </c>
      <c r="E293" s="457" t="s">
        <v>2455</v>
      </c>
      <c r="F293" s="458">
        <v>1</v>
      </c>
      <c r="G293" s="454" t="s">
        <v>247</v>
      </c>
      <c r="H293" s="460"/>
      <c r="I293" s="460" t="s">
        <v>251</v>
      </c>
      <c r="J293" s="460"/>
      <c r="K293" s="460" t="s">
        <v>1533</v>
      </c>
      <c r="L293" s="460">
        <v>60004987</v>
      </c>
      <c r="M293" s="461">
        <v>45615</v>
      </c>
      <c r="N293" s="461" t="s">
        <v>253</v>
      </c>
      <c r="O293" s="516" t="s">
        <v>2313</v>
      </c>
      <c r="P293" s="463" t="str">
        <f>IF(LEFT(B293,5)="09735",
    IF(ISNA(VLOOKUP(Tabla13[[#This Row],[Apoyo]],'LM SAP'!A:G,1,FALSE)),
        "No Disponible",
        IF(VLOOKUP(Tabla13[[#This Row],[Apoyo]],'LM SAP'!A:AD,9,FALSE)="RR",
            "Disponible",
            "Firmas SAP"
        )
    ),
    "CONSULTAR"
)</f>
        <v>Disponible</v>
      </c>
      <c r="Q293" s="460" t="str">
        <f>MID(Tabla13[[#This Row],[Código Indra]],1,13)</f>
        <v>0973544330170</v>
      </c>
      <c r="R293" s="464" t="str">
        <f>IF(ISNA(VLOOKUP(Tabla13[[#This Row],[Código Indra]],#REF!,1,FALSE)),"NO", "SI")</f>
        <v>SI</v>
      </c>
      <c r="S293" s="460" t="str">
        <f>IF(ISNA(VLOOKUP(Tabla13[[#This Row],[Código Indra]],Tabla132[[Código INDRA]:[Nombre]],1,FALSE)),"NO", "SI")</f>
        <v>NO</v>
      </c>
      <c r="T293" s="465" t="s">
        <v>2005</v>
      </c>
      <c r="U293" s="464" t="s">
        <v>256</v>
      </c>
      <c r="V293" s="464" t="str">
        <f>VLOOKUP(Tabla13[[#This Row],[Apoyo]],'LM SAP'!A:I,9,FALSE)</f>
        <v>RR</v>
      </c>
      <c r="X293" s="466">
        <v>0</v>
      </c>
      <c r="Y293" s="464">
        <f>Tabla13[[#This Row],[ID]]</f>
        <v>282</v>
      </c>
    </row>
    <row r="294" spans="1:25" s="464" customFormat="1" ht="36" x14ac:dyDescent="0.25">
      <c r="A294" s="453">
        <v>283</v>
      </c>
      <c r="B294" s="454" t="s">
        <v>2456</v>
      </c>
      <c r="C294" s="469" t="s">
        <v>1067</v>
      </c>
      <c r="D294" s="456" t="s">
        <v>248</v>
      </c>
      <c r="E294" s="457" t="s">
        <v>2457</v>
      </c>
      <c r="F294" s="458">
        <v>1</v>
      </c>
      <c r="G294" s="454" t="s">
        <v>247</v>
      </c>
      <c r="H294" s="460"/>
      <c r="I294" s="460" t="s">
        <v>251</v>
      </c>
      <c r="J294" s="460"/>
      <c r="K294" s="460" t="s">
        <v>1533</v>
      </c>
      <c r="L294" s="460">
        <v>60004987</v>
      </c>
      <c r="M294" s="461">
        <v>45615</v>
      </c>
      <c r="N294" s="461" t="s">
        <v>253</v>
      </c>
      <c r="O294" s="516" t="s">
        <v>2313</v>
      </c>
      <c r="P294" s="463" t="str">
        <f>IF(LEFT(B294,5)="09735",
    IF(ISNA(VLOOKUP(Tabla13[[#This Row],[Apoyo]],'LM SAP'!A:G,1,FALSE)),
        "No Disponible",
        IF(VLOOKUP(Tabla13[[#This Row],[Apoyo]],'LM SAP'!A:AD,9,FALSE)="RR",
            "Disponible",
            "Firmas SAP"
        )
    ),
    "CONSULTAR"
)</f>
        <v>Disponible</v>
      </c>
      <c r="Q294" s="460" t="str">
        <f>MID(Tabla13[[#This Row],[Código Indra]],1,13)</f>
        <v>0973544330171</v>
      </c>
      <c r="R294" s="464" t="str">
        <f>IF(ISNA(VLOOKUP(Tabla13[[#This Row],[Código Indra]],#REF!,1,FALSE)),"NO", "SI")</f>
        <v>SI</v>
      </c>
      <c r="S294" s="460" t="str">
        <f>IF(ISNA(VLOOKUP(Tabla13[[#This Row],[Código Indra]],Tabla132[[Código INDRA]:[Nombre]],1,FALSE)),"NO", "SI")</f>
        <v>NO</v>
      </c>
      <c r="T294" s="465" t="s">
        <v>2005</v>
      </c>
      <c r="U294" s="464" t="s">
        <v>256</v>
      </c>
      <c r="V294" s="464" t="str">
        <f>VLOOKUP(Tabla13[[#This Row],[Apoyo]],'LM SAP'!A:I,9,FALSE)</f>
        <v>RR</v>
      </c>
      <c r="X294" s="466">
        <v>0</v>
      </c>
      <c r="Y294" s="464">
        <f>Tabla13[[#This Row],[ID]]</f>
        <v>283</v>
      </c>
    </row>
    <row r="295" spans="1:25" s="464" customFormat="1" ht="36" x14ac:dyDescent="0.25">
      <c r="A295" s="453">
        <v>284</v>
      </c>
      <c r="B295" s="454" t="s">
        <v>2458</v>
      </c>
      <c r="C295" s="469" t="s">
        <v>1070</v>
      </c>
      <c r="D295" s="456" t="s">
        <v>248</v>
      </c>
      <c r="E295" s="457" t="s">
        <v>2459</v>
      </c>
      <c r="F295" s="458">
        <v>1</v>
      </c>
      <c r="G295" s="454" t="s">
        <v>247</v>
      </c>
      <c r="H295" s="460"/>
      <c r="I295" s="460" t="s">
        <v>251</v>
      </c>
      <c r="J295" s="460"/>
      <c r="K295" s="460" t="s">
        <v>1533</v>
      </c>
      <c r="L295" s="460">
        <v>60004987</v>
      </c>
      <c r="M295" s="461">
        <v>45615</v>
      </c>
      <c r="N295" s="461" t="s">
        <v>253</v>
      </c>
      <c r="O295" s="516" t="s">
        <v>2313</v>
      </c>
      <c r="P295" s="463" t="str">
        <f>IF(LEFT(B295,5)="09735",
    IF(ISNA(VLOOKUP(Tabla13[[#This Row],[Apoyo]],'LM SAP'!A:G,1,FALSE)),
        "No Disponible",
        IF(VLOOKUP(Tabla13[[#This Row],[Apoyo]],'LM SAP'!A:AD,9,FALSE)="RR",
            "Disponible",
            "Firmas SAP"
        )
    ),
    "CONSULTAR"
)</f>
        <v>Disponible</v>
      </c>
      <c r="Q295" s="460" t="str">
        <f>MID(Tabla13[[#This Row],[Código Indra]],1,13)</f>
        <v>0973544330172</v>
      </c>
      <c r="R295" s="464" t="str">
        <f>IF(ISNA(VLOOKUP(Tabla13[[#This Row],[Código Indra]],#REF!,1,FALSE)),"NO", "SI")</f>
        <v>SI</v>
      </c>
      <c r="S295" s="460" t="str">
        <f>IF(ISNA(VLOOKUP(Tabla13[[#This Row],[Código Indra]],Tabla132[[Código INDRA]:[Nombre]],1,FALSE)),"NO", "SI")</f>
        <v>NO</v>
      </c>
      <c r="T295" s="465" t="s">
        <v>2005</v>
      </c>
      <c r="U295" s="464" t="s">
        <v>256</v>
      </c>
      <c r="V295" s="464" t="str">
        <f>VLOOKUP(Tabla13[[#This Row],[Apoyo]],'LM SAP'!A:I,9,FALSE)</f>
        <v>RR</v>
      </c>
      <c r="X295" s="466">
        <v>0</v>
      </c>
      <c r="Y295" s="464">
        <f>Tabla13[[#This Row],[ID]]</f>
        <v>284</v>
      </c>
    </row>
    <row r="296" spans="1:25" s="464" customFormat="1" ht="36" x14ac:dyDescent="0.25">
      <c r="A296" s="453">
        <v>285</v>
      </c>
      <c r="B296" s="454" t="s">
        <v>2460</v>
      </c>
      <c r="C296" s="469" t="s">
        <v>1073</v>
      </c>
      <c r="D296" s="456" t="s">
        <v>248</v>
      </c>
      <c r="E296" s="457" t="s">
        <v>2461</v>
      </c>
      <c r="F296" s="458">
        <v>1</v>
      </c>
      <c r="G296" s="454" t="s">
        <v>247</v>
      </c>
      <c r="H296" s="460"/>
      <c r="I296" s="460" t="s">
        <v>251</v>
      </c>
      <c r="J296" s="460"/>
      <c r="K296" s="460" t="s">
        <v>1533</v>
      </c>
      <c r="L296" s="460">
        <v>60004987</v>
      </c>
      <c r="M296" s="461">
        <v>45615</v>
      </c>
      <c r="N296" s="461" t="s">
        <v>253</v>
      </c>
      <c r="O296" s="516" t="s">
        <v>2313</v>
      </c>
      <c r="P296" s="463" t="str">
        <f>IF(LEFT(B296,5)="09735",
    IF(ISNA(VLOOKUP(Tabla13[[#This Row],[Apoyo]],'LM SAP'!A:G,1,FALSE)),
        "No Disponible",
        IF(VLOOKUP(Tabla13[[#This Row],[Apoyo]],'LM SAP'!A:AD,9,FALSE)="RR",
            "Disponible",
            "Firmas SAP"
        )
    ),
    "CONSULTAR"
)</f>
        <v>Disponible</v>
      </c>
      <c r="Q296" s="460" t="str">
        <f>MID(Tabla13[[#This Row],[Código Indra]],1,13)</f>
        <v>0973544330173</v>
      </c>
      <c r="R296" s="464" t="str">
        <f>IF(ISNA(VLOOKUP(Tabla13[[#This Row],[Código Indra]],#REF!,1,FALSE)),"NO", "SI")</f>
        <v>SI</v>
      </c>
      <c r="S296" s="460" t="str">
        <f>IF(ISNA(VLOOKUP(Tabla13[[#This Row],[Código Indra]],Tabla132[[Código INDRA]:[Nombre]],1,FALSE)),"NO", "SI")</f>
        <v>NO</v>
      </c>
      <c r="T296" s="465" t="s">
        <v>2005</v>
      </c>
      <c r="U296" s="464" t="s">
        <v>256</v>
      </c>
      <c r="V296" s="464" t="str">
        <f>VLOOKUP(Tabla13[[#This Row],[Apoyo]],'LM SAP'!A:I,9,FALSE)</f>
        <v>RR</v>
      </c>
      <c r="X296" s="466">
        <v>0</v>
      </c>
      <c r="Y296" s="464">
        <f>Tabla13[[#This Row],[ID]]</f>
        <v>285</v>
      </c>
    </row>
    <row r="297" spans="1:25" s="464" customFormat="1" ht="36" x14ac:dyDescent="0.25">
      <c r="A297" s="453">
        <v>286</v>
      </c>
      <c r="B297" s="454" t="s">
        <v>1075</v>
      </c>
      <c r="C297" s="469" t="s">
        <v>1076</v>
      </c>
      <c r="D297" s="456" t="s">
        <v>248</v>
      </c>
      <c r="E297" s="457" t="s">
        <v>1077</v>
      </c>
      <c r="F297" s="458">
        <v>1</v>
      </c>
      <c r="G297" s="454" t="s">
        <v>247</v>
      </c>
      <c r="H297" s="460"/>
      <c r="I297" s="460" t="s">
        <v>251</v>
      </c>
      <c r="J297" s="460"/>
      <c r="K297" s="460" t="s">
        <v>1533</v>
      </c>
      <c r="L297" s="460">
        <v>60004987</v>
      </c>
      <c r="M297" s="461">
        <v>45615</v>
      </c>
      <c r="N297" s="461" t="s">
        <v>253</v>
      </c>
      <c r="O297" s="516" t="s">
        <v>2313</v>
      </c>
      <c r="P297" s="533" t="str">
        <f>IF(LEFT(B297,5)="09735",
    IF(ISNA(VLOOKUP(Tabla13[[#This Row],[Apoyo]],'LM SAP'!A:G,1,FALSE)),
        "No Disponible",
        IF(VLOOKUP(Tabla13[[#This Row],[Apoyo]],'LM SAP'!A:AD,9,FALSE)="RR",
            "Disponible",
            "Firmas SAP"
        )
    ),
    "CONSULTAR"
)</f>
        <v>No Disponible</v>
      </c>
      <c r="Q297" s="460" t="str">
        <f>MID(Tabla13[[#This Row],[Código Indra]],1,13)</f>
        <v>0973544330175</v>
      </c>
      <c r="R297" s="464" t="str">
        <f>IF(ISNA(VLOOKUP(Tabla13[[#This Row],[Código Indra]],#REF!,1,FALSE)),"NO", "SI")</f>
        <v>SI</v>
      </c>
      <c r="S297" s="460" t="str">
        <f>IF(ISNA(VLOOKUP(Tabla13[[#This Row],[Código Indra]],Tabla132[[Código INDRA]:[Nombre]],1,FALSE)),"NO", "SI")</f>
        <v>NO</v>
      </c>
      <c r="T297" s="465" t="s">
        <v>2005</v>
      </c>
      <c r="U297" s="464" t="s">
        <v>256</v>
      </c>
      <c r="V297" s="464" t="e">
        <f>VLOOKUP(Tabla13[[#This Row],[Apoyo]],'LM SAP'!A:I,9,FALSE)</f>
        <v>#N/A</v>
      </c>
      <c r="W297" s="464" t="s">
        <v>234</v>
      </c>
      <c r="X297" s="466">
        <v>0</v>
      </c>
      <c r="Y297" s="464">
        <f>Tabla13[[#This Row],[ID]]</f>
        <v>286</v>
      </c>
    </row>
    <row r="298" spans="1:25" s="464" customFormat="1" ht="36" x14ac:dyDescent="0.25">
      <c r="A298" s="453">
        <v>287</v>
      </c>
      <c r="B298" s="454" t="s">
        <v>1078</v>
      </c>
      <c r="C298" s="469" t="s">
        <v>1079</v>
      </c>
      <c r="D298" s="456" t="s">
        <v>248</v>
      </c>
      <c r="E298" s="457" t="s">
        <v>1080</v>
      </c>
      <c r="F298" s="458">
        <v>1</v>
      </c>
      <c r="G298" s="454" t="s">
        <v>247</v>
      </c>
      <c r="H298" s="460"/>
      <c r="I298" s="460" t="s">
        <v>251</v>
      </c>
      <c r="J298" s="460"/>
      <c r="K298" s="460" t="s">
        <v>1533</v>
      </c>
      <c r="L298" s="460">
        <v>60004987</v>
      </c>
      <c r="M298" s="461">
        <v>45615</v>
      </c>
      <c r="N298" s="461" t="s">
        <v>253</v>
      </c>
      <c r="O298" s="516" t="s">
        <v>2313</v>
      </c>
      <c r="P298" s="533" t="str">
        <f>IF(LEFT(B298,5)="09735",
    IF(ISNA(VLOOKUP(Tabla13[[#This Row],[Apoyo]],'LM SAP'!A:G,1,FALSE)),
        "No Disponible",
        IF(VLOOKUP(Tabla13[[#This Row],[Apoyo]],'LM SAP'!A:AD,9,FALSE)="RR",
            "Disponible",
            "Firmas SAP"
        )
    ),
    "CONSULTAR"
)</f>
        <v>No Disponible</v>
      </c>
      <c r="Q298" s="460" t="str">
        <f>MID(Tabla13[[#This Row],[Código Indra]],1,13)</f>
        <v>0973544330176</v>
      </c>
      <c r="R298" s="464" t="str">
        <f>IF(ISNA(VLOOKUP(Tabla13[[#This Row],[Código Indra]],#REF!,1,FALSE)),"NO", "SI")</f>
        <v>SI</v>
      </c>
      <c r="S298" s="460" t="str">
        <f>IF(ISNA(VLOOKUP(Tabla13[[#This Row],[Código Indra]],Tabla132[[Código INDRA]:[Nombre]],1,FALSE)),"NO", "SI")</f>
        <v>NO</v>
      </c>
      <c r="T298" s="465" t="s">
        <v>2005</v>
      </c>
      <c r="U298" s="464" t="s">
        <v>256</v>
      </c>
      <c r="V298" s="464" t="e">
        <f>VLOOKUP(Tabla13[[#This Row],[Apoyo]],'LM SAP'!A:I,9,FALSE)</f>
        <v>#N/A</v>
      </c>
      <c r="W298" s="464" t="s">
        <v>234</v>
      </c>
      <c r="X298" s="466">
        <v>0</v>
      </c>
      <c r="Y298" s="464">
        <f>Tabla13[[#This Row],[ID]]</f>
        <v>287</v>
      </c>
    </row>
    <row r="299" spans="1:25" s="464" customFormat="1" ht="36" x14ac:dyDescent="0.25">
      <c r="A299" s="453">
        <v>288</v>
      </c>
      <c r="B299" s="454" t="s">
        <v>1081</v>
      </c>
      <c r="C299" s="469" t="s">
        <v>1076</v>
      </c>
      <c r="D299" s="456" t="s">
        <v>248</v>
      </c>
      <c r="E299" s="457" t="s">
        <v>2462</v>
      </c>
      <c r="F299" s="458">
        <v>1</v>
      </c>
      <c r="G299" s="454" t="s">
        <v>247</v>
      </c>
      <c r="H299" s="460"/>
      <c r="I299" s="460" t="s">
        <v>251</v>
      </c>
      <c r="J299" s="460"/>
      <c r="K299" s="460" t="s">
        <v>1533</v>
      </c>
      <c r="L299" s="460">
        <v>60004987</v>
      </c>
      <c r="M299" s="461">
        <v>45615</v>
      </c>
      <c r="N299" s="461" t="s">
        <v>253</v>
      </c>
      <c r="O299" s="516" t="s">
        <v>2313</v>
      </c>
      <c r="P299" s="533" t="str">
        <f>IF(LEFT(B299,5)="09735",
    IF(ISNA(VLOOKUP(Tabla13[[#This Row],[Apoyo]],'LM SAP'!A:G,1,FALSE)),
        "No Disponible",
        IF(VLOOKUP(Tabla13[[#This Row],[Apoyo]],'LM SAP'!A:AD,9,FALSE)="RR",
            "Disponible",
            "Firmas SAP"
        )
    ),
    "CONSULTAR"
)</f>
        <v>Disponible</v>
      </c>
      <c r="Q299" s="460" t="str">
        <f>MID(Tabla13[[#This Row],[Código Indra]],1,13)</f>
        <v>0973544330180</v>
      </c>
      <c r="R299" s="464" t="str">
        <f>IF(ISNA(VLOOKUP(Tabla13[[#This Row],[Código Indra]],#REF!,1,FALSE)),"NO", "SI")</f>
        <v>SI</v>
      </c>
      <c r="S299" s="460" t="str">
        <f>IF(ISNA(VLOOKUP(Tabla13[[#This Row],[Código Indra]],Tabla132[[Código INDRA]:[Nombre]],1,FALSE)),"NO", "SI")</f>
        <v>NO</v>
      </c>
      <c r="T299" s="465" t="s">
        <v>2005</v>
      </c>
      <c r="U299" s="464" t="s">
        <v>256</v>
      </c>
      <c r="V299" s="464" t="str">
        <f>VLOOKUP(Tabla13[[#This Row],[Apoyo]],'LM SAP'!A:I,9,FALSE)</f>
        <v>RR</v>
      </c>
      <c r="W299" s="464" t="s">
        <v>234</v>
      </c>
      <c r="X299" s="466">
        <v>0</v>
      </c>
      <c r="Y299" s="464">
        <f>Tabla13[[#This Row],[ID]]</f>
        <v>288</v>
      </c>
    </row>
    <row r="300" spans="1:25" s="464" customFormat="1" ht="36" x14ac:dyDescent="0.25">
      <c r="A300" s="453">
        <v>289</v>
      </c>
      <c r="B300" s="454" t="s">
        <v>1083</v>
      </c>
      <c r="C300" s="469" t="s">
        <v>1084</v>
      </c>
      <c r="D300" s="456" t="s">
        <v>248</v>
      </c>
      <c r="E300" s="457" t="s">
        <v>1082</v>
      </c>
      <c r="F300" s="458">
        <v>1</v>
      </c>
      <c r="G300" s="454" t="s">
        <v>247</v>
      </c>
      <c r="H300" s="460"/>
      <c r="I300" s="460" t="s">
        <v>251</v>
      </c>
      <c r="J300" s="460"/>
      <c r="K300" s="460" t="s">
        <v>1533</v>
      </c>
      <c r="L300" s="460">
        <v>60004987</v>
      </c>
      <c r="M300" s="461">
        <v>45615</v>
      </c>
      <c r="N300" s="461" t="s">
        <v>253</v>
      </c>
      <c r="O300" s="516" t="s">
        <v>2313</v>
      </c>
      <c r="P300" s="533" t="str">
        <f>IF(LEFT(B300,5)="09735",
    IF(ISNA(VLOOKUP(Tabla13[[#This Row],[Apoyo]],'LM SAP'!A:G,1,FALSE)),
        "No Disponible",
        IF(VLOOKUP(Tabla13[[#This Row],[Apoyo]],'LM SAP'!A:AD,9,FALSE)="RR",
            "Disponible",
            "Firmas SAP"
        )
    ),
    "CONSULTAR"
)</f>
        <v>Disponible</v>
      </c>
      <c r="Q300" s="460" t="str">
        <f>MID(Tabla13[[#This Row],[Código Indra]],1,13)</f>
        <v>0973544330181</v>
      </c>
      <c r="R300" s="464" t="str">
        <f>IF(ISNA(VLOOKUP(Tabla13[[#This Row],[Código Indra]],#REF!,1,FALSE)),"NO", "SI")</f>
        <v>SI</v>
      </c>
      <c r="S300" s="460" t="str">
        <f>IF(ISNA(VLOOKUP(Tabla13[[#This Row],[Código Indra]],Tabla132[[Código INDRA]:[Nombre]],1,FALSE)),"NO", "SI")</f>
        <v>NO</v>
      </c>
      <c r="T300" s="465" t="s">
        <v>2005</v>
      </c>
      <c r="U300" s="464" t="s">
        <v>256</v>
      </c>
      <c r="V300" s="464" t="str">
        <f>VLOOKUP(Tabla13[[#This Row],[Apoyo]],'LM SAP'!A:I,9,FALSE)</f>
        <v>RR</v>
      </c>
      <c r="W300" s="464" t="s">
        <v>234</v>
      </c>
      <c r="X300" s="466">
        <v>0</v>
      </c>
      <c r="Y300" s="464">
        <f>Tabla13[[#This Row],[ID]]</f>
        <v>289</v>
      </c>
    </row>
    <row r="301" spans="1:25" s="464" customFormat="1" ht="48" x14ac:dyDescent="0.25">
      <c r="A301" s="453">
        <v>290</v>
      </c>
      <c r="B301" s="454" t="s">
        <v>937</v>
      </c>
      <c r="C301" s="455" t="s">
        <v>938</v>
      </c>
      <c r="D301" s="456" t="s">
        <v>1860</v>
      </c>
      <c r="E301" s="457" t="s">
        <v>2463</v>
      </c>
      <c r="F301" s="458">
        <v>1</v>
      </c>
      <c r="G301" s="465"/>
      <c r="H301" s="460"/>
      <c r="I301" s="460" t="s">
        <v>251</v>
      </c>
      <c r="J301" s="460"/>
      <c r="K301" s="460" t="s">
        <v>1411</v>
      </c>
      <c r="L301" s="460">
        <v>60005073</v>
      </c>
      <c r="M301" s="461">
        <v>45616</v>
      </c>
      <c r="N301" s="461">
        <v>45636</v>
      </c>
      <c r="O301" s="470" t="s">
        <v>2464</v>
      </c>
      <c r="P301" s="463" t="str">
        <f>IF(LEFT(B301,5)="09735",
    IF(ISNA(VLOOKUP(Tabla13[[#This Row],[Apoyo]],'LM SAP'!A:G,1,FALSE)),
        "No Disponible",
        IF(VLOOKUP(Tabla13[[#This Row],[Apoyo]],'LM SAP'!A:AD,9,FALSE)="RR",
            "Disponible",
            "Firmas SAP"
        )
    ),
    "CONSULTAR"
)</f>
        <v>No Disponible</v>
      </c>
      <c r="Q301" s="460" t="str">
        <f>MID(Tabla13[[#This Row],[Código Indra]],1,13)</f>
        <v>0973524330200</v>
      </c>
      <c r="R301" s="464" t="str">
        <f>IF(ISNA(VLOOKUP(Tabla13[[#This Row],[Código Indra]],#REF!,1,FALSE)),"NO", "SI")</f>
        <v>SI</v>
      </c>
      <c r="S301" s="460" t="str">
        <f>IF(ISNA(VLOOKUP(Tabla13[[#This Row],[Código Indra]],Tabla132[[Código INDRA]:[Nombre]],1,FALSE)),"NO", "SI")</f>
        <v>NO</v>
      </c>
      <c r="T301" s="465" t="s">
        <v>2005</v>
      </c>
      <c r="U301" s="464" t="s">
        <v>256</v>
      </c>
      <c r="V301" s="464" t="e">
        <f>VLOOKUP(Tabla13[[#This Row],[Apoyo]],'LM SAP'!A:I,9,FALSE)</f>
        <v>#N/A</v>
      </c>
      <c r="W301" s="464" t="s">
        <v>234</v>
      </c>
      <c r="X301" s="466">
        <v>0</v>
      </c>
      <c r="Y301" s="464">
        <f>Tabla13[[#This Row],[ID]]</f>
        <v>290</v>
      </c>
    </row>
    <row r="302" spans="1:25" s="464" customFormat="1" ht="36" x14ac:dyDescent="0.25">
      <c r="A302" s="453">
        <v>291</v>
      </c>
      <c r="B302" s="454" t="s">
        <v>2465</v>
      </c>
      <c r="C302" s="469" t="s">
        <v>2466</v>
      </c>
      <c r="D302" s="456" t="s">
        <v>938</v>
      </c>
      <c r="E302" s="457" t="s">
        <v>2467</v>
      </c>
      <c r="F302" s="458">
        <v>1</v>
      </c>
      <c r="G302" s="454" t="s">
        <v>937</v>
      </c>
      <c r="H302" s="460"/>
      <c r="I302" s="460" t="s">
        <v>251</v>
      </c>
      <c r="J302" s="460"/>
      <c r="K302" s="460" t="s">
        <v>1533</v>
      </c>
      <c r="L302" s="460">
        <v>60005073</v>
      </c>
      <c r="M302" s="461"/>
      <c r="N302" s="461"/>
      <c r="O302" s="516" t="s">
        <v>2211</v>
      </c>
      <c r="P302" s="463" t="str">
        <f>IF(LEFT(B302,5)="09735",
    IF(ISNA(VLOOKUP(Tabla13[[#This Row],[Apoyo]],'LM SAP'!A:G,1,FALSE)),
        "No Disponible",
        IF(VLOOKUP(Tabla13[[#This Row],[Apoyo]],'LM SAP'!A:AD,9,FALSE)="RR",
            "Disponible",
            "Firmas SAP"
        )
    ),
    "CONSULTAR"
)</f>
        <v>No Disponible</v>
      </c>
      <c r="Q302" s="460" t="str">
        <f>MID(Tabla13[[#This Row],[Código Indra]],1,13)</f>
        <v>0973544330201</v>
      </c>
      <c r="R302" s="464" t="str">
        <f>IF(ISNA(VLOOKUP(Tabla13[[#This Row],[Código Indra]],#REF!,1,FALSE)),"NO", "SI")</f>
        <v>SI</v>
      </c>
      <c r="S302" s="460" t="str">
        <f>IF(ISNA(VLOOKUP(Tabla13[[#This Row],[Código Indra]],Tabla132[[Código INDRA]:[Nombre]],1,FALSE)),"NO", "SI")</f>
        <v>NO</v>
      </c>
      <c r="T302" s="465" t="s">
        <v>2005</v>
      </c>
      <c r="U302" s="464" t="s">
        <v>256</v>
      </c>
      <c r="V302" s="464" t="e">
        <f>VLOOKUP(Tabla13[[#This Row],[Apoyo]],'LM SAP'!A:I,9,FALSE)</f>
        <v>#N/A</v>
      </c>
      <c r="X302" s="466">
        <v>0</v>
      </c>
      <c r="Y302" s="464">
        <f>Tabla13[[#This Row],[ID]]</f>
        <v>291</v>
      </c>
    </row>
    <row r="303" spans="1:25" s="464" customFormat="1" ht="36" x14ac:dyDescent="0.25">
      <c r="A303" s="453">
        <v>292</v>
      </c>
      <c r="B303" s="454" t="s">
        <v>2468</v>
      </c>
      <c r="C303" s="469" t="s">
        <v>2469</v>
      </c>
      <c r="D303" s="456" t="s">
        <v>938</v>
      </c>
      <c r="E303" s="457" t="s">
        <v>2470</v>
      </c>
      <c r="F303" s="458">
        <v>1</v>
      </c>
      <c r="G303" s="454" t="s">
        <v>937</v>
      </c>
      <c r="H303" s="460"/>
      <c r="I303" s="460" t="s">
        <v>251</v>
      </c>
      <c r="J303" s="460"/>
      <c r="K303" s="460" t="s">
        <v>1533</v>
      </c>
      <c r="L303" s="460">
        <v>60005073</v>
      </c>
      <c r="M303" s="461"/>
      <c r="N303" s="461"/>
      <c r="O303" s="516" t="s">
        <v>2211</v>
      </c>
      <c r="P303" s="463" t="str">
        <f>IF(LEFT(B303,5)="09735",
    IF(ISNA(VLOOKUP(Tabla13[[#This Row],[Apoyo]],'LM SAP'!A:G,1,FALSE)),
        "No Disponible",
        IF(VLOOKUP(Tabla13[[#This Row],[Apoyo]],'LM SAP'!A:AD,9,FALSE)="RR",
            "Disponible",
            "Firmas SAP"
        )
    ),
    "CONSULTAR"
)</f>
        <v>No Disponible</v>
      </c>
      <c r="Q303" s="460" t="str">
        <f>MID(Tabla13[[#This Row],[Código Indra]],1,13)</f>
        <v>0973544330202</v>
      </c>
      <c r="R303" s="464" t="str">
        <f>IF(ISNA(VLOOKUP(Tabla13[[#This Row],[Código Indra]],#REF!,1,FALSE)),"NO", "SI")</f>
        <v>SI</v>
      </c>
      <c r="S303" s="460" t="str">
        <f>IF(ISNA(VLOOKUP(Tabla13[[#This Row],[Código Indra]],Tabla132[[Código INDRA]:[Nombre]],1,FALSE)),"NO", "SI")</f>
        <v>NO</v>
      </c>
      <c r="T303" s="465" t="s">
        <v>2005</v>
      </c>
      <c r="U303" s="464" t="s">
        <v>256</v>
      </c>
      <c r="V303" s="464" t="e">
        <f>VLOOKUP(Tabla13[[#This Row],[Apoyo]],'LM SAP'!A:I,9,FALSE)</f>
        <v>#N/A</v>
      </c>
      <c r="X303" s="466">
        <v>0</v>
      </c>
      <c r="Y303" s="464">
        <f>Tabla13[[#This Row],[ID]]</f>
        <v>292</v>
      </c>
    </row>
    <row r="304" spans="1:25" s="464" customFormat="1" ht="36" x14ac:dyDescent="0.25">
      <c r="A304" s="453">
        <v>293</v>
      </c>
      <c r="B304" s="454" t="s">
        <v>2471</v>
      </c>
      <c r="C304" s="469" t="s">
        <v>2472</v>
      </c>
      <c r="D304" s="456" t="s">
        <v>938</v>
      </c>
      <c r="E304" s="457" t="s">
        <v>2473</v>
      </c>
      <c r="F304" s="458">
        <v>1</v>
      </c>
      <c r="G304" s="454" t="s">
        <v>937</v>
      </c>
      <c r="H304" s="460"/>
      <c r="I304" s="460" t="s">
        <v>251</v>
      </c>
      <c r="J304" s="460"/>
      <c r="K304" s="460" t="s">
        <v>1533</v>
      </c>
      <c r="L304" s="460">
        <v>60005073</v>
      </c>
      <c r="M304" s="461"/>
      <c r="N304" s="461"/>
      <c r="O304" s="516" t="s">
        <v>2211</v>
      </c>
      <c r="P304" s="463" t="str">
        <f>IF(LEFT(B304,5)="09735",
    IF(ISNA(VLOOKUP(Tabla13[[#This Row],[Apoyo]],'LM SAP'!A:G,1,FALSE)),
        "No Disponible",
        IF(VLOOKUP(Tabla13[[#This Row],[Apoyo]],'LM SAP'!A:AD,9,FALSE)="RR",
            "Disponible",
            "Firmas SAP"
        )
    ),
    "CONSULTAR"
)</f>
        <v>No Disponible</v>
      </c>
      <c r="Q304" s="460" t="str">
        <f>MID(Tabla13[[#This Row],[Código Indra]],1,13)</f>
        <v>0973544330203</v>
      </c>
      <c r="R304" s="464" t="str">
        <f>IF(ISNA(VLOOKUP(Tabla13[[#This Row],[Código Indra]],#REF!,1,FALSE)),"NO", "SI")</f>
        <v>SI</v>
      </c>
      <c r="S304" s="460" t="str">
        <f>IF(ISNA(VLOOKUP(Tabla13[[#This Row],[Código Indra]],Tabla132[[Código INDRA]:[Nombre]],1,FALSE)),"NO", "SI")</f>
        <v>NO</v>
      </c>
      <c r="T304" s="465" t="s">
        <v>2005</v>
      </c>
      <c r="U304" s="464" t="s">
        <v>256</v>
      </c>
      <c r="V304" s="464" t="e">
        <f>VLOOKUP(Tabla13[[#This Row],[Apoyo]],'LM SAP'!A:I,9,FALSE)</f>
        <v>#N/A</v>
      </c>
      <c r="X304" s="466">
        <v>0</v>
      </c>
      <c r="Y304" s="464">
        <f>Tabla13[[#This Row],[ID]]</f>
        <v>293</v>
      </c>
    </row>
    <row r="305" spans="1:25" s="464" customFormat="1" ht="36" x14ac:dyDescent="0.25">
      <c r="A305" s="453">
        <v>294</v>
      </c>
      <c r="B305" s="454" t="s">
        <v>2474</v>
      </c>
      <c r="C305" s="469" t="s">
        <v>2475</v>
      </c>
      <c r="D305" s="456" t="s">
        <v>938</v>
      </c>
      <c r="E305" s="457" t="s">
        <v>2476</v>
      </c>
      <c r="F305" s="458">
        <v>1</v>
      </c>
      <c r="G305" s="454" t="s">
        <v>937</v>
      </c>
      <c r="H305" s="460"/>
      <c r="I305" s="460" t="s">
        <v>251</v>
      </c>
      <c r="J305" s="460"/>
      <c r="K305" s="460" t="s">
        <v>1533</v>
      </c>
      <c r="L305" s="460">
        <v>60005073</v>
      </c>
      <c r="M305" s="461"/>
      <c r="N305" s="461"/>
      <c r="O305" s="516" t="s">
        <v>2211</v>
      </c>
      <c r="P305" s="463" t="str">
        <f>IF(LEFT(B305,5)="09735",
    IF(ISNA(VLOOKUP(Tabla13[[#This Row],[Apoyo]],'LM SAP'!A:G,1,FALSE)),
        "No Disponible",
        IF(VLOOKUP(Tabla13[[#This Row],[Apoyo]],'LM SAP'!A:AD,9,FALSE)="RR",
            "Disponible",
            "Firmas SAP"
        )
    ),
    "CONSULTAR"
)</f>
        <v>No Disponible</v>
      </c>
      <c r="Q305" s="460" t="str">
        <f>MID(Tabla13[[#This Row],[Código Indra]],1,13)</f>
        <v>0973544330204</v>
      </c>
      <c r="R305" s="464" t="str">
        <f>IF(ISNA(VLOOKUP(Tabla13[[#This Row],[Código Indra]],#REF!,1,FALSE)),"NO", "SI")</f>
        <v>SI</v>
      </c>
      <c r="S305" s="460" t="str">
        <f>IF(ISNA(VLOOKUP(Tabla13[[#This Row],[Código Indra]],Tabla132[[Código INDRA]:[Nombre]],1,FALSE)),"NO", "SI")</f>
        <v>NO</v>
      </c>
      <c r="T305" s="465" t="s">
        <v>2005</v>
      </c>
      <c r="U305" s="464" t="s">
        <v>256</v>
      </c>
      <c r="V305" s="464" t="e">
        <f>VLOOKUP(Tabla13[[#This Row],[Apoyo]],'LM SAP'!A:I,9,FALSE)</f>
        <v>#N/A</v>
      </c>
      <c r="X305" s="466">
        <v>0</v>
      </c>
      <c r="Y305" s="464">
        <f>Tabla13[[#This Row],[ID]]</f>
        <v>294</v>
      </c>
    </row>
    <row r="306" spans="1:25" s="464" customFormat="1" ht="36" x14ac:dyDescent="0.25">
      <c r="A306" s="453">
        <v>295</v>
      </c>
      <c r="B306" s="454" t="s">
        <v>2477</v>
      </c>
      <c r="C306" s="469" t="s">
        <v>2478</v>
      </c>
      <c r="D306" s="456" t="s">
        <v>938</v>
      </c>
      <c r="E306" s="457" t="s">
        <v>2479</v>
      </c>
      <c r="F306" s="458">
        <v>1</v>
      </c>
      <c r="G306" s="454" t="s">
        <v>937</v>
      </c>
      <c r="H306" s="460"/>
      <c r="I306" s="460" t="s">
        <v>251</v>
      </c>
      <c r="J306" s="460"/>
      <c r="K306" s="460" t="s">
        <v>1533</v>
      </c>
      <c r="L306" s="460">
        <v>60005073</v>
      </c>
      <c r="M306" s="461"/>
      <c r="N306" s="461"/>
      <c r="O306" s="516" t="s">
        <v>2211</v>
      </c>
      <c r="P306" s="463" t="str">
        <f>IF(LEFT(B306,5)="09735",
    IF(ISNA(VLOOKUP(Tabla13[[#This Row],[Apoyo]],'LM SAP'!A:G,1,FALSE)),
        "No Disponible",
        IF(VLOOKUP(Tabla13[[#This Row],[Apoyo]],'LM SAP'!A:AD,9,FALSE)="RR",
            "Disponible",
            "Firmas SAP"
        )
    ),
    "CONSULTAR"
)</f>
        <v>No Disponible</v>
      </c>
      <c r="Q306" s="460" t="str">
        <f>MID(Tabla13[[#This Row],[Código Indra]],1,13)</f>
        <v>0973544330205</v>
      </c>
      <c r="R306" s="464" t="str">
        <f>IF(ISNA(VLOOKUP(Tabla13[[#This Row],[Código Indra]],#REF!,1,FALSE)),"NO", "SI")</f>
        <v>SI</v>
      </c>
      <c r="S306" s="460" t="str">
        <f>IF(ISNA(VLOOKUP(Tabla13[[#This Row],[Código Indra]],Tabla132[[Código INDRA]:[Nombre]],1,FALSE)),"NO", "SI")</f>
        <v>NO</v>
      </c>
      <c r="T306" s="465" t="s">
        <v>2005</v>
      </c>
      <c r="U306" s="464" t="s">
        <v>256</v>
      </c>
      <c r="V306" s="464" t="e">
        <f>VLOOKUP(Tabla13[[#This Row],[Apoyo]],'LM SAP'!A:I,9,FALSE)</f>
        <v>#N/A</v>
      </c>
      <c r="X306" s="466">
        <v>0</v>
      </c>
      <c r="Y306" s="464">
        <f>Tabla13[[#This Row],[ID]]</f>
        <v>295</v>
      </c>
    </row>
    <row r="307" spans="1:25" s="464" customFormat="1" ht="36" x14ac:dyDescent="0.25">
      <c r="A307" s="453">
        <v>296</v>
      </c>
      <c r="B307" s="454" t="s">
        <v>2480</v>
      </c>
      <c r="C307" s="469" t="s">
        <v>2481</v>
      </c>
      <c r="D307" s="456" t="s">
        <v>938</v>
      </c>
      <c r="E307" s="457" t="s">
        <v>2482</v>
      </c>
      <c r="F307" s="458">
        <v>1</v>
      </c>
      <c r="G307" s="454" t="s">
        <v>937</v>
      </c>
      <c r="H307" s="460"/>
      <c r="I307" s="460" t="s">
        <v>251</v>
      </c>
      <c r="J307" s="460"/>
      <c r="K307" s="460" t="s">
        <v>1533</v>
      </c>
      <c r="L307" s="460">
        <v>60005073</v>
      </c>
      <c r="M307" s="461"/>
      <c r="N307" s="461"/>
      <c r="O307" s="516" t="s">
        <v>2211</v>
      </c>
      <c r="P307" s="463" t="str">
        <f>IF(LEFT(B307,5)="09735",
    IF(ISNA(VLOOKUP(Tabla13[[#This Row],[Apoyo]],'LM SAP'!A:G,1,FALSE)),
        "No Disponible",
        IF(VLOOKUP(Tabla13[[#This Row],[Apoyo]],'LM SAP'!A:AD,9,FALSE)="RR",
            "Disponible",
            "Firmas SAP"
        )
    ),
    "CONSULTAR"
)</f>
        <v>No Disponible</v>
      </c>
      <c r="Q307" s="460" t="str">
        <f>MID(Tabla13[[#This Row],[Código Indra]],1,13)</f>
        <v>0973544330206</v>
      </c>
      <c r="R307" s="464" t="str">
        <f>IF(ISNA(VLOOKUP(Tabla13[[#This Row],[Código Indra]],#REF!,1,FALSE)),"NO", "SI")</f>
        <v>SI</v>
      </c>
      <c r="S307" s="460" t="str">
        <f>IF(ISNA(VLOOKUP(Tabla13[[#This Row],[Código Indra]],Tabla132[[Código INDRA]:[Nombre]],1,FALSE)),"NO", "SI")</f>
        <v>NO</v>
      </c>
      <c r="T307" s="465" t="s">
        <v>2005</v>
      </c>
      <c r="U307" s="464" t="s">
        <v>256</v>
      </c>
      <c r="V307" s="464" t="e">
        <f>VLOOKUP(Tabla13[[#This Row],[Apoyo]],'LM SAP'!A:I,9,FALSE)</f>
        <v>#N/A</v>
      </c>
      <c r="X307" s="466">
        <v>0</v>
      </c>
      <c r="Y307" s="464">
        <f>Tabla13[[#This Row],[ID]]</f>
        <v>296</v>
      </c>
    </row>
    <row r="308" spans="1:25" s="464" customFormat="1" ht="36" x14ac:dyDescent="0.25">
      <c r="A308" s="453">
        <v>297</v>
      </c>
      <c r="B308" s="454" t="s">
        <v>2483</v>
      </c>
      <c r="C308" s="469" t="s">
        <v>2484</v>
      </c>
      <c r="D308" s="456" t="s">
        <v>938</v>
      </c>
      <c r="E308" s="457" t="s">
        <v>2485</v>
      </c>
      <c r="F308" s="458">
        <v>1</v>
      </c>
      <c r="G308" s="454" t="s">
        <v>937</v>
      </c>
      <c r="H308" s="460"/>
      <c r="I308" s="460" t="s">
        <v>251</v>
      </c>
      <c r="J308" s="460"/>
      <c r="K308" s="460" t="s">
        <v>1533</v>
      </c>
      <c r="L308" s="460">
        <v>60005073</v>
      </c>
      <c r="M308" s="461"/>
      <c r="N308" s="461"/>
      <c r="O308" s="516" t="s">
        <v>2211</v>
      </c>
      <c r="P308" s="463" t="str">
        <f>IF(LEFT(B308,5)="09735",
    IF(ISNA(VLOOKUP(Tabla13[[#This Row],[Apoyo]],'LM SAP'!A:G,1,FALSE)),
        "No Disponible",
        IF(VLOOKUP(Tabla13[[#This Row],[Apoyo]],'LM SAP'!A:AD,9,FALSE)="RR",
            "Disponible",
            "Firmas SAP"
        )
    ),
    "CONSULTAR"
)</f>
        <v>No Disponible</v>
      </c>
      <c r="Q308" s="460" t="str">
        <f>MID(Tabla13[[#This Row],[Código Indra]],1,13)</f>
        <v>0973544330207</v>
      </c>
      <c r="R308" s="464" t="str">
        <f>IF(ISNA(VLOOKUP(Tabla13[[#This Row],[Código Indra]],#REF!,1,FALSE)),"NO", "SI")</f>
        <v>SI</v>
      </c>
      <c r="S308" s="460" t="str">
        <f>IF(ISNA(VLOOKUP(Tabla13[[#This Row],[Código Indra]],Tabla132[[Código INDRA]:[Nombre]],1,FALSE)),"NO", "SI")</f>
        <v>NO</v>
      </c>
      <c r="T308" s="465" t="s">
        <v>2005</v>
      </c>
      <c r="U308" s="464" t="s">
        <v>256</v>
      </c>
      <c r="V308" s="464" t="e">
        <f>VLOOKUP(Tabla13[[#This Row],[Apoyo]],'LM SAP'!A:I,9,FALSE)</f>
        <v>#N/A</v>
      </c>
      <c r="X308" s="466">
        <v>0</v>
      </c>
      <c r="Y308" s="464">
        <f>Tabla13[[#This Row],[ID]]</f>
        <v>297</v>
      </c>
    </row>
    <row r="309" spans="1:25" s="464" customFormat="1" ht="36" x14ac:dyDescent="0.25">
      <c r="A309" s="453">
        <v>298</v>
      </c>
      <c r="B309" s="454" t="s">
        <v>2486</v>
      </c>
      <c r="C309" s="469" t="s">
        <v>2487</v>
      </c>
      <c r="D309" s="456" t="s">
        <v>938</v>
      </c>
      <c r="E309" s="457" t="s">
        <v>2488</v>
      </c>
      <c r="F309" s="458">
        <v>1</v>
      </c>
      <c r="G309" s="532" t="s">
        <v>937</v>
      </c>
      <c r="H309" s="460"/>
      <c r="I309" s="460" t="s">
        <v>251</v>
      </c>
      <c r="J309" s="460"/>
      <c r="K309" s="460" t="s">
        <v>1533</v>
      </c>
      <c r="L309" s="460">
        <v>60005073</v>
      </c>
      <c r="M309" s="461"/>
      <c r="N309" s="461"/>
      <c r="O309" s="516" t="s">
        <v>2211</v>
      </c>
      <c r="P309" s="463" t="str">
        <f>IF(LEFT(B309,5)="09735",
    IF(ISNA(VLOOKUP(Tabla13[[#This Row],[Apoyo]],'LM SAP'!A:G,1,FALSE)),
        "No Disponible",
        IF(VLOOKUP(Tabla13[[#This Row],[Apoyo]],'LM SAP'!A:AD,9,FALSE)="RR",
            "Disponible",
            "Firmas SAP"
        )
    ),
    "CONSULTAR"
)</f>
        <v>No Disponible</v>
      </c>
      <c r="Q309" s="460" t="str">
        <f>MID(Tabla13[[#This Row],[Código Indra]],1,13)</f>
        <v>0973544330208</v>
      </c>
      <c r="R309" s="464" t="str">
        <f>IF(ISNA(VLOOKUP(Tabla13[[#This Row],[Código Indra]],#REF!,1,FALSE)),"NO", "SI")</f>
        <v>SI</v>
      </c>
      <c r="S309" s="460" t="str">
        <f>IF(ISNA(VLOOKUP(Tabla13[[#This Row],[Código Indra]],Tabla132[[Código INDRA]:[Nombre]],1,FALSE)),"NO", "SI")</f>
        <v>NO</v>
      </c>
      <c r="T309" s="465" t="s">
        <v>2005</v>
      </c>
      <c r="U309" s="464" t="s">
        <v>256</v>
      </c>
      <c r="V309" s="464" t="e">
        <f>VLOOKUP(Tabla13[[#This Row],[Apoyo]],'LM SAP'!A:I,9,FALSE)</f>
        <v>#N/A</v>
      </c>
      <c r="X309" s="466">
        <v>0</v>
      </c>
      <c r="Y309" s="464">
        <f>Tabla13[[#This Row],[ID]]</f>
        <v>298</v>
      </c>
    </row>
    <row r="310" spans="1:25" s="464" customFormat="1" ht="36" x14ac:dyDescent="0.25">
      <c r="A310" s="453">
        <v>299</v>
      </c>
      <c r="B310" s="454" t="s">
        <v>2489</v>
      </c>
      <c r="C310" s="469" t="s">
        <v>2490</v>
      </c>
      <c r="D310" s="456" t="s">
        <v>938</v>
      </c>
      <c r="E310" s="457" t="s">
        <v>2491</v>
      </c>
      <c r="F310" s="458">
        <v>1</v>
      </c>
      <c r="G310" s="514" t="s">
        <v>937</v>
      </c>
      <c r="H310" s="460"/>
      <c r="I310" s="460" t="s">
        <v>251</v>
      </c>
      <c r="J310" s="460"/>
      <c r="K310" s="460" t="s">
        <v>1533</v>
      </c>
      <c r="L310" s="460">
        <v>60005073</v>
      </c>
      <c r="M310" s="461"/>
      <c r="N310" s="461"/>
      <c r="O310" s="516" t="s">
        <v>2211</v>
      </c>
      <c r="P310" s="463" t="str">
        <f>IF(LEFT(B310,5)="09735",
    IF(ISNA(VLOOKUP(Tabla13[[#This Row],[Apoyo]],'LM SAP'!A:G,1,FALSE)),
        "No Disponible",
        IF(VLOOKUP(Tabla13[[#This Row],[Apoyo]],'LM SAP'!A:AD,9,FALSE)="RR",
            "Disponible",
            "Firmas SAP"
        )
    ),
    "CONSULTAR"
)</f>
        <v>No Disponible</v>
      </c>
      <c r="Q310" s="460" t="str">
        <f>MID(Tabla13[[#This Row],[Código Indra]],1,13)</f>
        <v>0973544330209</v>
      </c>
      <c r="R310" s="464" t="str">
        <f>IF(ISNA(VLOOKUP(Tabla13[[#This Row],[Código Indra]],#REF!,1,FALSE)),"NO", "SI")</f>
        <v>SI</v>
      </c>
      <c r="S310" s="460" t="str">
        <f>IF(ISNA(VLOOKUP(Tabla13[[#This Row],[Código Indra]],Tabla132[[Código INDRA]:[Nombre]],1,FALSE)),"NO", "SI")</f>
        <v>NO</v>
      </c>
      <c r="T310" s="465" t="s">
        <v>2005</v>
      </c>
      <c r="U310" s="464" t="s">
        <v>256</v>
      </c>
      <c r="V310" s="464" t="e">
        <f>VLOOKUP(Tabla13[[#This Row],[Apoyo]],'LM SAP'!A:I,9,FALSE)</f>
        <v>#N/A</v>
      </c>
      <c r="X310" s="466">
        <v>0</v>
      </c>
      <c r="Y310" s="464">
        <f>Tabla13[[#This Row],[ID]]</f>
        <v>299</v>
      </c>
    </row>
    <row r="311" spans="1:25" s="464" customFormat="1" ht="36" x14ac:dyDescent="0.25">
      <c r="A311" s="453">
        <v>300</v>
      </c>
      <c r="B311" s="454" t="s">
        <v>2492</v>
      </c>
      <c r="C311" s="469" t="s">
        <v>2493</v>
      </c>
      <c r="D311" s="456" t="s">
        <v>938</v>
      </c>
      <c r="E311" s="457" t="s">
        <v>2494</v>
      </c>
      <c r="F311" s="458">
        <v>1</v>
      </c>
      <c r="G311" s="514" t="s">
        <v>937</v>
      </c>
      <c r="H311" s="460"/>
      <c r="I311" s="460" t="s">
        <v>251</v>
      </c>
      <c r="J311" s="460"/>
      <c r="K311" s="460" t="s">
        <v>1533</v>
      </c>
      <c r="L311" s="460">
        <v>60005073</v>
      </c>
      <c r="M311" s="461"/>
      <c r="N311" s="461"/>
      <c r="O311" s="516" t="s">
        <v>2211</v>
      </c>
      <c r="P311" s="463" t="str">
        <f>IF(LEFT(B311,5)="09735",
    IF(ISNA(VLOOKUP(Tabla13[[#This Row],[Apoyo]],'LM SAP'!A:G,1,FALSE)),
        "No Disponible",
        IF(VLOOKUP(Tabla13[[#This Row],[Apoyo]],'LM SAP'!A:AD,9,FALSE)="RR",
            "Disponible",
            "Firmas SAP"
        )
    ),
    "CONSULTAR"
)</f>
        <v>No Disponible</v>
      </c>
      <c r="Q311" s="460" t="str">
        <f>MID(Tabla13[[#This Row],[Código Indra]],1,13)</f>
        <v>0973544330210</v>
      </c>
      <c r="R311" s="464" t="str">
        <f>IF(ISNA(VLOOKUP(Tabla13[[#This Row],[Código Indra]],#REF!,1,FALSE)),"NO", "SI")</f>
        <v>SI</v>
      </c>
      <c r="S311" s="460" t="str">
        <f>IF(ISNA(VLOOKUP(Tabla13[[#This Row],[Código Indra]],Tabla132[[Código INDRA]:[Nombre]],1,FALSE)),"NO", "SI")</f>
        <v>NO</v>
      </c>
      <c r="T311" s="465" t="s">
        <v>2005</v>
      </c>
      <c r="U311" s="464" t="s">
        <v>256</v>
      </c>
      <c r="V311" s="464" t="e">
        <f>VLOOKUP(Tabla13[[#This Row],[Apoyo]],'LM SAP'!A:I,9,FALSE)</f>
        <v>#N/A</v>
      </c>
      <c r="X311" s="466">
        <v>0</v>
      </c>
      <c r="Y311" s="464">
        <f>Tabla13[[#This Row],[ID]]</f>
        <v>300</v>
      </c>
    </row>
    <row r="312" spans="1:25" s="464" customFormat="1" ht="36" x14ac:dyDescent="0.25">
      <c r="A312" s="453">
        <v>301</v>
      </c>
      <c r="B312" s="454" t="s">
        <v>2495</v>
      </c>
      <c r="C312" s="469" t="s">
        <v>2496</v>
      </c>
      <c r="D312" s="456" t="s">
        <v>938</v>
      </c>
      <c r="E312" s="457" t="s">
        <v>2497</v>
      </c>
      <c r="F312" s="458">
        <v>1</v>
      </c>
      <c r="G312" s="454" t="s">
        <v>937</v>
      </c>
      <c r="H312" s="460"/>
      <c r="I312" s="460" t="s">
        <v>251</v>
      </c>
      <c r="J312" s="460"/>
      <c r="K312" s="460" t="s">
        <v>1533</v>
      </c>
      <c r="L312" s="460">
        <v>60005073</v>
      </c>
      <c r="M312" s="461"/>
      <c r="N312" s="461"/>
      <c r="O312" s="516" t="s">
        <v>2211</v>
      </c>
      <c r="P312" s="463" t="str">
        <f>IF(LEFT(B312,5)="09735",
    IF(ISNA(VLOOKUP(Tabla13[[#This Row],[Apoyo]],'LM SAP'!A:G,1,FALSE)),
        "No Disponible",
        IF(VLOOKUP(Tabla13[[#This Row],[Apoyo]],'LM SAP'!A:AD,9,FALSE)="RR",
            "Disponible",
            "Firmas SAP"
        )
    ),
    "CONSULTAR"
)</f>
        <v>No Disponible</v>
      </c>
      <c r="Q312" s="460" t="str">
        <f>MID(Tabla13[[#This Row],[Código Indra]],1,13)</f>
        <v>0973544330211</v>
      </c>
      <c r="R312" s="464" t="str">
        <f>IF(ISNA(VLOOKUP(Tabla13[[#This Row],[Código Indra]],#REF!,1,FALSE)),"NO", "SI")</f>
        <v>SI</v>
      </c>
      <c r="S312" s="460" t="str">
        <f>IF(ISNA(VLOOKUP(Tabla13[[#This Row],[Código Indra]],Tabla132[[Código INDRA]:[Nombre]],1,FALSE)),"NO", "SI")</f>
        <v>NO</v>
      </c>
      <c r="T312" s="465" t="s">
        <v>2005</v>
      </c>
      <c r="U312" s="464" t="s">
        <v>256</v>
      </c>
      <c r="V312" s="464" t="e">
        <f>VLOOKUP(Tabla13[[#This Row],[Apoyo]],'LM SAP'!A:I,9,FALSE)</f>
        <v>#N/A</v>
      </c>
      <c r="X312" s="466">
        <v>0</v>
      </c>
      <c r="Y312" s="464">
        <f>Tabla13[[#This Row],[ID]]</f>
        <v>301</v>
      </c>
    </row>
    <row r="313" spans="1:25" s="464" customFormat="1" ht="36" x14ac:dyDescent="0.25">
      <c r="A313" s="453">
        <v>302</v>
      </c>
      <c r="B313" s="454" t="s">
        <v>2498</v>
      </c>
      <c r="C313" s="469" t="s">
        <v>2499</v>
      </c>
      <c r="D313" s="456" t="s">
        <v>938</v>
      </c>
      <c r="E313" s="457" t="s">
        <v>2500</v>
      </c>
      <c r="F313" s="458">
        <v>1</v>
      </c>
      <c r="G313" s="454" t="s">
        <v>937</v>
      </c>
      <c r="H313" s="460"/>
      <c r="I313" s="460" t="s">
        <v>251</v>
      </c>
      <c r="J313" s="460"/>
      <c r="K313" s="460" t="s">
        <v>1533</v>
      </c>
      <c r="L313" s="460">
        <v>60005073</v>
      </c>
      <c r="M313" s="461"/>
      <c r="N313" s="461"/>
      <c r="O313" s="516" t="s">
        <v>2211</v>
      </c>
      <c r="P313" s="463" t="str">
        <f>IF(LEFT(B313,5)="09735",
    IF(ISNA(VLOOKUP(Tabla13[[#This Row],[Apoyo]],'LM SAP'!A:G,1,FALSE)),
        "No Disponible",
        IF(VLOOKUP(Tabla13[[#This Row],[Apoyo]],'LM SAP'!A:AD,9,FALSE)="RR",
            "Disponible",
            "Firmas SAP"
        )
    ),
    "CONSULTAR"
)</f>
        <v>No Disponible</v>
      </c>
      <c r="Q313" s="460" t="str">
        <f>MID(Tabla13[[#This Row],[Código Indra]],1,13)</f>
        <v>0973544330212</v>
      </c>
      <c r="R313" s="464" t="str">
        <f>IF(ISNA(VLOOKUP(Tabla13[[#This Row],[Código Indra]],#REF!,1,FALSE)),"NO", "SI")</f>
        <v>SI</v>
      </c>
      <c r="S313" s="460" t="str">
        <f>IF(ISNA(VLOOKUP(Tabla13[[#This Row],[Código Indra]],Tabla132[[Código INDRA]:[Nombre]],1,FALSE)),"NO", "SI")</f>
        <v>NO</v>
      </c>
      <c r="T313" s="465" t="s">
        <v>2005</v>
      </c>
      <c r="U313" s="464" t="s">
        <v>256</v>
      </c>
      <c r="V313" s="464" t="e">
        <f>VLOOKUP(Tabla13[[#This Row],[Apoyo]],'LM SAP'!A:I,9,FALSE)</f>
        <v>#N/A</v>
      </c>
      <c r="X313" s="466">
        <v>0</v>
      </c>
      <c r="Y313" s="464">
        <f>Tabla13[[#This Row],[ID]]</f>
        <v>302</v>
      </c>
    </row>
    <row r="314" spans="1:25" s="464" customFormat="1" ht="36" x14ac:dyDescent="0.25">
      <c r="A314" s="453">
        <v>303</v>
      </c>
      <c r="B314" s="454" t="s">
        <v>2501</v>
      </c>
      <c r="C314" s="469" t="s">
        <v>2502</v>
      </c>
      <c r="D314" s="456" t="s">
        <v>938</v>
      </c>
      <c r="E314" s="457" t="s">
        <v>2503</v>
      </c>
      <c r="F314" s="458">
        <v>1</v>
      </c>
      <c r="G314" s="454" t="s">
        <v>937</v>
      </c>
      <c r="H314" s="460"/>
      <c r="I314" s="460" t="s">
        <v>251</v>
      </c>
      <c r="J314" s="460"/>
      <c r="K314" s="460" t="s">
        <v>1533</v>
      </c>
      <c r="L314" s="460">
        <v>60005073</v>
      </c>
      <c r="M314" s="461"/>
      <c r="N314" s="461"/>
      <c r="O314" s="516" t="s">
        <v>2211</v>
      </c>
      <c r="P314" s="463" t="str">
        <f>IF(LEFT(B314,5)="09735",
    IF(ISNA(VLOOKUP(Tabla13[[#This Row],[Apoyo]],'LM SAP'!A:G,1,FALSE)),
        "No Disponible",
        IF(VLOOKUP(Tabla13[[#This Row],[Apoyo]],'LM SAP'!A:AD,9,FALSE)="RR",
            "Disponible",
            "Firmas SAP"
        )
    ),
    "CONSULTAR"
)</f>
        <v>No Disponible</v>
      </c>
      <c r="Q314" s="460" t="str">
        <f>MID(Tabla13[[#This Row],[Código Indra]],1,13)</f>
        <v>0973544330213</v>
      </c>
      <c r="R314" s="464" t="str">
        <f>IF(ISNA(VLOOKUP(Tabla13[[#This Row],[Código Indra]],#REF!,1,FALSE)),"NO", "SI")</f>
        <v>SI</v>
      </c>
      <c r="S314" s="460" t="str">
        <f>IF(ISNA(VLOOKUP(Tabla13[[#This Row],[Código Indra]],Tabla132[[Código INDRA]:[Nombre]],1,FALSE)),"NO", "SI")</f>
        <v>NO</v>
      </c>
      <c r="T314" s="465" t="s">
        <v>2005</v>
      </c>
      <c r="U314" s="464" t="s">
        <v>256</v>
      </c>
      <c r="V314" s="464" t="e">
        <f>VLOOKUP(Tabla13[[#This Row],[Apoyo]],'LM SAP'!A:I,9,FALSE)</f>
        <v>#N/A</v>
      </c>
      <c r="X314" s="466">
        <v>0</v>
      </c>
      <c r="Y314" s="464">
        <f>Tabla13[[#This Row],[ID]]</f>
        <v>303</v>
      </c>
    </row>
    <row r="315" spans="1:25" s="464" customFormat="1" ht="36" x14ac:dyDescent="0.25">
      <c r="A315" s="453">
        <v>304</v>
      </c>
      <c r="B315" s="454" t="s">
        <v>2504</v>
      </c>
      <c r="C315" s="469" t="s">
        <v>2505</v>
      </c>
      <c r="D315" s="456" t="s">
        <v>938</v>
      </c>
      <c r="E315" s="457" t="s">
        <v>2506</v>
      </c>
      <c r="F315" s="458">
        <v>1</v>
      </c>
      <c r="G315" s="454" t="s">
        <v>937</v>
      </c>
      <c r="H315" s="460"/>
      <c r="I315" s="460" t="s">
        <v>251</v>
      </c>
      <c r="J315" s="460"/>
      <c r="K315" s="460" t="s">
        <v>1533</v>
      </c>
      <c r="L315" s="460">
        <v>60005073</v>
      </c>
      <c r="M315" s="461"/>
      <c r="N315" s="461"/>
      <c r="O315" s="516" t="s">
        <v>2211</v>
      </c>
      <c r="P315" s="463" t="str">
        <f>IF(LEFT(B315,5)="09735",
    IF(ISNA(VLOOKUP(Tabla13[[#This Row],[Apoyo]],'LM SAP'!A:G,1,FALSE)),
        "No Disponible",
        IF(VLOOKUP(Tabla13[[#This Row],[Apoyo]],'LM SAP'!A:AD,9,FALSE)="RR",
            "Disponible",
            "Firmas SAP"
        )
    ),
    "CONSULTAR"
)</f>
        <v>No Disponible</v>
      </c>
      <c r="Q315" s="460" t="str">
        <f>MID(Tabla13[[#This Row],[Código Indra]],1,13)</f>
        <v>0973544330214</v>
      </c>
      <c r="R315" s="464" t="str">
        <f>IF(ISNA(VLOOKUP(Tabla13[[#This Row],[Código Indra]],#REF!,1,FALSE)),"NO", "SI")</f>
        <v>SI</v>
      </c>
      <c r="S315" s="460" t="str">
        <f>IF(ISNA(VLOOKUP(Tabla13[[#This Row],[Código Indra]],Tabla132[[Código INDRA]:[Nombre]],1,FALSE)),"NO", "SI")</f>
        <v>NO</v>
      </c>
      <c r="T315" s="465" t="s">
        <v>2005</v>
      </c>
      <c r="U315" s="464" t="s">
        <v>256</v>
      </c>
      <c r="V315" s="464" t="e">
        <f>VLOOKUP(Tabla13[[#This Row],[Apoyo]],'LM SAP'!A:I,9,FALSE)</f>
        <v>#N/A</v>
      </c>
      <c r="X315" s="466">
        <v>0</v>
      </c>
      <c r="Y315" s="464">
        <f>Tabla13[[#This Row],[ID]]</f>
        <v>304</v>
      </c>
    </row>
    <row r="316" spans="1:25" s="464" customFormat="1" ht="36" x14ac:dyDescent="0.25">
      <c r="A316" s="453">
        <v>305</v>
      </c>
      <c r="B316" s="454" t="s">
        <v>2507</v>
      </c>
      <c r="C316" s="469" t="s">
        <v>2508</v>
      </c>
      <c r="D316" s="456" t="s">
        <v>938</v>
      </c>
      <c r="E316" s="457" t="s">
        <v>2509</v>
      </c>
      <c r="F316" s="458">
        <v>1</v>
      </c>
      <c r="G316" s="514" t="s">
        <v>937</v>
      </c>
      <c r="H316" s="460"/>
      <c r="I316" s="460" t="s">
        <v>251</v>
      </c>
      <c r="J316" s="460"/>
      <c r="K316" s="460" t="s">
        <v>1533</v>
      </c>
      <c r="L316" s="460">
        <v>60005073</v>
      </c>
      <c r="M316" s="461"/>
      <c r="N316" s="461"/>
      <c r="O316" s="516" t="s">
        <v>2211</v>
      </c>
      <c r="P316" s="463" t="str">
        <f>IF(LEFT(B316,5)="09735",
    IF(ISNA(VLOOKUP(Tabla13[[#This Row],[Apoyo]],'LM SAP'!A:G,1,FALSE)),
        "No Disponible",
        IF(VLOOKUP(Tabla13[[#This Row],[Apoyo]],'LM SAP'!A:AD,9,FALSE)="RR",
            "Disponible",
            "Firmas SAP"
        )
    ),
    "CONSULTAR"
)</f>
        <v>No Disponible</v>
      </c>
      <c r="Q316" s="460" t="str">
        <f>MID(Tabla13[[#This Row],[Código Indra]],1,13)</f>
        <v>0973544330215</v>
      </c>
      <c r="R316" s="464" t="str">
        <f>IF(ISNA(VLOOKUP(Tabla13[[#This Row],[Código Indra]],#REF!,1,FALSE)),"NO", "SI")</f>
        <v>SI</v>
      </c>
      <c r="S316" s="460" t="str">
        <f>IF(ISNA(VLOOKUP(Tabla13[[#This Row],[Código Indra]],Tabla132[[Código INDRA]:[Nombre]],1,FALSE)),"NO", "SI")</f>
        <v>NO</v>
      </c>
      <c r="T316" s="465" t="s">
        <v>2005</v>
      </c>
      <c r="U316" s="464" t="s">
        <v>256</v>
      </c>
      <c r="V316" s="464" t="e">
        <f>VLOOKUP(Tabla13[[#This Row],[Apoyo]],'LM SAP'!A:I,9,FALSE)</f>
        <v>#N/A</v>
      </c>
      <c r="X316" s="466">
        <v>0</v>
      </c>
      <c r="Y316" s="464">
        <f>Tabla13[[#This Row],[ID]]</f>
        <v>305</v>
      </c>
    </row>
    <row r="317" spans="1:25" s="464" customFormat="1" ht="36" x14ac:dyDescent="0.25">
      <c r="A317" s="453">
        <v>306</v>
      </c>
      <c r="B317" s="454" t="s">
        <v>2510</v>
      </c>
      <c r="C317" s="469" t="s">
        <v>2511</v>
      </c>
      <c r="D317" s="456" t="s">
        <v>938</v>
      </c>
      <c r="E317" s="457" t="s">
        <v>2512</v>
      </c>
      <c r="F317" s="458">
        <v>1</v>
      </c>
      <c r="G317" s="514" t="s">
        <v>937</v>
      </c>
      <c r="H317" s="460"/>
      <c r="I317" s="460" t="s">
        <v>251</v>
      </c>
      <c r="J317" s="460"/>
      <c r="K317" s="460" t="s">
        <v>1533</v>
      </c>
      <c r="L317" s="460">
        <v>60005073</v>
      </c>
      <c r="M317" s="461"/>
      <c r="N317" s="461"/>
      <c r="O317" s="516" t="s">
        <v>2211</v>
      </c>
      <c r="P317" s="463" t="str">
        <f>IF(LEFT(B317,5)="09735",
    IF(ISNA(VLOOKUP(Tabla13[[#This Row],[Apoyo]],'LM SAP'!A:G,1,FALSE)),
        "No Disponible",
        IF(VLOOKUP(Tabla13[[#This Row],[Apoyo]],'LM SAP'!A:AD,9,FALSE)="RR",
            "Disponible",
            "Firmas SAP"
        )
    ),
    "CONSULTAR"
)</f>
        <v>No Disponible</v>
      </c>
      <c r="Q317" s="460" t="str">
        <f>MID(Tabla13[[#This Row],[Código Indra]],1,13)</f>
        <v>0973544330216</v>
      </c>
      <c r="R317" s="464" t="str">
        <f>IF(ISNA(VLOOKUP(Tabla13[[#This Row],[Código Indra]],#REF!,1,FALSE)),"NO", "SI")</f>
        <v>SI</v>
      </c>
      <c r="S317" s="460" t="str">
        <f>IF(ISNA(VLOOKUP(Tabla13[[#This Row],[Código Indra]],Tabla132[[Código INDRA]:[Nombre]],1,FALSE)),"NO", "SI")</f>
        <v>NO</v>
      </c>
      <c r="T317" s="465" t="s">
        <v>2005</v>
      </c>
      <c r="U317" s="464" t="s">
        <v>256</v>
      </c>
      <c r="V317" s="464" t="e">
        <f>VLOOKUP(Tabla13[[#This Row],[Apoyo]],'LM SAP'!A:I,9,FALSE)</f>
        <v>#N/A</v>
      </c>
      <c r="X317" s="466">
        <v>0</v>
      </c>
      <c r="Y317" s="464">
        <f>Tabla13[[#This Row],[ID]]</f>
        <v>306</v>
      </c>
    </row>
    <row r="318" spans="1:25" s="464" customFormat="1" ht="36" x14ac:dyDescent="0.25">
      <c r="A318" s="453">
        <v>307</v>
      </c>
      <c r="B318" s="454" t="s">
        <v>2513</v>
      </c>
      <c r="C318" s="469" t="s">
        <v>2514</v>
      </c>
      <c r="D318" s="456" t="s">
        <v>938</v>
      </c>
      <c r="E318" s="457" t="s">
        <v>2515</v>
      </c>
      <c r="F318" s="458">
        <v>1</v>
      </c>
      <c r="G318" s="514" t="s">
        <v>937</v>
      </c>
      <c r="H318" s="460"/>
      <c r="I318" s="460" t="s">
        <v>251</v>
      </c>
      <c r="J318" s="460"/>
      <c r="K318" s="460" t="s">
        <v>1533</v>
      </c>
      <c r="L318" s="460">
        <v>60005073</v>
      </c>
      <c r="M318" s="461"/>
      <c r="N318" s="461"/>
      <c r="O318" s="516" t="s">
        <v>2211</v>
      </c>
      <c r="P318" s="463" t="str">
        <f>IF(LEFT(B318,5)="09735",
    IF(ISNA(VLOOKUP(Tabla13[[#This Row],[Apoyo]],'LM SAP'!A:G,1,FALSE)),
        "No Disponible",
        IF(VLOOKUP(Tabla13[[#This Row],[Apoyo]],'LM SAP'!A:AD,9,FALSE)="RR",
            "Disponible",
            "Firmas SAP"
        )
    ),
    "CONSULTAR"
)</f>
        <v>No Disponible</v>
      </c>
      <c r="Q318" s="460" t="str">
        <f>MID(Tabla13[[#This Row],[Código Indra]],1,13)</f>
        <v>0973544330217</v>
      </c>
      <c r="R318" s="464" t="str">
        <f>IF(ISNA(VLOOKUP(Tabla13[[#This Row],[Código Indra]],#REF!,1,FALSE)),"NO", "SI")</f>
        <v>SI</v>
      </c>
      <c r="S318" s="460" t="str">
        <f>IF(ISNA(VLOOKUP(Tabla13[[#This Row],[Código Indra]],Tabla132[[Código INDRA]:[Nombre]],1,FALSE)),"NO", "SI")</f>
        <v>NO</v>
      </c>
      <c r="T318" s="465" t="s">
        <v>2005</v>
      </c>
      <c r="U318" s="464" t="s">
        <v>256</v>
      </c>
      <c r="V318" s="464" t="e">
        <f>VLOOKUP(Tabla13[[#This Row],[Apoyo]],'LM SAP'!A:I,9,FALSE)</f>
        <v>#N/A</v>
      </c>
      <c r="X318" s="466">
        <v>0</v>
      </c>
      <c r="Y318" s="464">
        <f>Tabla13[[#This Row],[ID]]</f>
        <v>307</v>
      </c>
    </row>
    <row r="319" spans="1:25" s="464" customFormat="1" ht="36" x14ac:dyDescent="0.25">
      <c r="A319" s="453">
        <v>308</v>
      </c>
      <c r="B319" s="454" t="s">
        <v>2516</v>
      </c>
      <c r="C319" s="469" t="s">
        <v>2517</v>
      </c>
      <c r="D319" s="456" t="s">
        <v>938</v>
      </c>
      <c r="E319" s="457" t="s">
        <v>2518</v>
      </c>
      <c r="F319" s="458">
        <v>1</v>
      </c>
      <c r="G319" s="514" t="s">
        <v>937</v>
      </c>
      <c r="H319" s="460"/>
      <c r="I319" s="460" t="s">
        <v>251</v>
      </c>
      <c r="J319" s="460"/>
      <c r="K319" s="460" t="s">
        <v>1533</v>
      </c>
      <c r="L319" s="460">
        <v>60005073</v>
      </c>
      <c r="M319" s="461"/>
      <c r="N319" s="461"/>
      <c r="O319" s="516" t="s">
        <v>2211</v>
      </c>
      <c r="P319" s="463" t="str">
        <f>IF(LEFT(B319,5)="09735",
    IF(ISNA(VLOOKUP(Tabla13[[#This Row],[Apoyo]],'LM SAP'!A:G,1,FALSE)),
        "No Disponible",
        IF(VLOOKUP(Tabla13[[#This Row],[Apoyo]],'LM SAP'!A:AD,9,FALSE)="RR",
            "Disponible",
            "Firmas SAP"
        )
    ),
    "CONSULTAR"
)</f>
        <v>No Disponible</v>
      </c>
      <c r="Q319" s="460" t="str">
        <f>MID(Tabla13[[#This Row],[Código Indra]],1,13)</f>
        <v>0973544330218</v>
      </c>
      <c r="R319" s="464" t="str">
        <f>IF(ISNA(VLOOKUP(Tabla13[[#This Row],[Código Indra]],#REF!,1,FALSE)),"NO", "SI")</f>
        <v>SI</v>
      </c>
      <c r="S319" s="460" t="str">
        <f>IF(ISNA(VLOOKUP(Tabla13[[#This Row],[Código Indra]],Tabla132[[Código INDRA]:[Nombre]],1,FALSE)),"NO", "SI")</f>
        <v>NO</v>
      </c>
      <c r="T319" s="465" t="s">
        <v>2005</v>
      </c>
      <c r="U319" s="464" t="s">
        <v>256</v>
      </c>
      <c r="V319" s="464" t="e">
        <f>VLOOKUP(Tabla13[[#This Row],[Apoyo]],'LM SAP'!A:I,9,FALSE)</f>
        <v>#N/A</v>
      </c>
      <c r="X319" s="466">
        <v>0</v>
      </c>
      <c r="Y319" s="464">
        <f>Tabla13[[#This Row],[ID]]</f>
        <v>308</v>
      </c>
    </row>
    <row r="320" spans="1:25" s="464" customFormat="1" ht="36" x14ac:dyDescent="0.25">
      <c r="A320" s="453">
        <v>309</v>
      </c>
      <c r="B320" s="454" t="s">
        <v>2519</v>
      </c>
      <c r="C320" s="469" t="s">
        <v>2520</v>
      </c>
      <c r="D320" s="456" t="s">
        <v>938</v>
      </c>
      <c r="E320" s="457" t="s">
        <v>2521</v>
      </c>
      <c r="F320" s="458">
        <v>1</v>
      </c>
      <c r="G320" s="514" t="s">
        <v>937</v>
      </c>
      <c r="H320" s="460"/>
      <c r="I320" s="460" t="s">
        <v>251</v>
      </c>
      <c r="J320" s="460"/>
      <c r="K320" s="460" t="s">
        <v>1533</v>
      </c>
      <c r="L320" s="460">
        <v>60005073</v>
      </c>
      <c r="M320" s="461"/>
      <c r="N320" s="461"/>
      <c r="O320" s="516" t="s">
        <v>2211</v>
      </c>
      <c r="P320" s="463" t="str">
        <f>IF(LEFT(B320,5)="09735",
    IF(ISNA(VLOOKUP(Tabla13[[#This Row],[Apoyo]],'LM SAP'!A:G,1,FALSE)),
        "No Disponible",
        IF(VLOOKUP(Tabla13[[#This Row],[Apoyo]],'LM SAP'!A:AD,9,FALSE)="RR",
            "Disponible",
            "Firmas SAP"
        )
    ),
    "CONSULTAR"
)</f>
        <v>No Disponible</v>
      </c>
      <c r="Q320" s="460" t="str">
        <f>MID(Tabla13[[#This Row],[Código Indra]],1,13)</f>
        <v>0973544330219</v>
      </c>
      <c r="R320" s="464" t="str">
        <f>IF(ISNA(VLOOKUP(Tabla13[[#This Row],[Código Indra]],#REF!,1,FALSE)),"NO", "SI")</f>
        <v>SI</v>
      </c>
      <c r="S320" s="460" t="str">
        <f>IF(ISNA(VLOOKUP(Tabla13[[#This Row],[Código Indra]],Tabla132[[Código INDRA]:[Nombre]],1,FALSE)),"NO", "SI")</f>
        <v>NO</v>
      </c>
      <c r="T320" s="465" t="s">
        <v>2005</v>
      </c>
      <c r="U320" s="464" t="s">
        <v>256</v>
      </c>
      <c r="V320" s="464" t="e">
        <f>VLOOKUP(Tabla13[[#This Row],[Apoyo]],'LM SAP'!A:I,9,FALSE)</f>
        <v>#N/A</v>
      </c>
      <c r="X320" s="466">
        <v>0</v>
      </c>
      <c r="Y320" s="464">
        <f>Tabla13[[#This Row],[ID]]</f>
        <v>309</v>
      </c>
    </row>
    <row r="321" spans="1:25" s="464" customFormat="1" ht="36" x14ac:dyDescent="0.25">
      <c r="A321" s="453">
        <v>310</v>
      </c>
      <c r="B321" s="454" t="s">
        <v>2522</v>
      </c>
      <c r="C321" s="469" t="s">
        <v>2523</v>
      </c>
      <c r="D321" s="456" t="s">
        <v>938</v>
      </c>
      <c r="E321" s="457" t="s">
        <v>2524</v>
      </c>
      <c r="F321" s="458">
        <v>1</v>
      </c>
      <c r="G321" s="514" t="s">
        <v>937</v>
      </c>
      <c r="H321" s="460"/>
      <c r="I321" s="460" t="s">
        <v>251</v>
      </c>
      <c r="J321" s="460"/>
      <c r="K321" s="460" t="s">
        <v>1533</v>
      </c>
      <c r="L321" s="460">
        <v>60005073</v>
      </c>
      <c r="M321" s="461"/>
      <c r="N321" s="461"/>
      <c r="O321" s="516" t="s">
        <v>2211</v>
      </c>
      <c r="P321" s="463" t="str">
        <f>IF(LEFT(B321,5)="09735",
    IF(ISNA(VLOOKUP(Tabla13[[#This Row],[Apoyo]],'LM SAP'!A:G,1,FALSE)),
        "No Disponible",
        IF(VLOOKUP(Tabla13[[#This Row],[Apoyo]],'LM SAP'!A:AD,9,FALSE)="RR",
            "Disponible",
            "Firmas SAP"
        )
    ),
    "CONSULTAR"
)</f>
        <v>No Disponible</v>
      </c>
      <c r="Q321" s="460" t="str">
        <f>MID(Tabla13[[#This Row],[Código Indra]],1,13)</f>
        <v>0973544330220</v>
      </c>
      <c r="R321" s="464" t="str">
        <f>IF(ISNA(VLOOKUP(Tabla13[[#This Row],[Código Indra]],#REF!,1,FALSE)),"NO", "SI")</f>
        <v>SI</v>
      </c>
      <c r="S321" s="460" t="str">
        <f>IF(ISNA(VLOOKUP(Tabla13[[#This Row],[Código Indra]],Tabla132[[Código INDRA]:[Nombre]],1,FALSE)),"NO", "SI")</f>
        <v>NO</v>
      </c>
      <c r="T321" s="465" t="s">
        <v>2005</v>
      </c>
      <c r="U321" s="464" t="s">
        <v>256</v>
      </c>
      <c r="V321" s="464" t="e">
        <f>VLOOKUP(Tabla13[[#This Row],[Apoyo]],'LM SAP'!A:I,9,FALSE)</f>
        <v>#N/A</v>
      </c>
      <c r="X321" s="466">
        <v>0</v>
      </c>
      <c r="Y321" s="464">
        <f>Tabla13[[#This Row],[ID]]</f>
        <v>310</v>
      </c>
    </row>
    <row r="322" spans="1:25" s="464" customFormat="1" ht="36" x14ac:dyDescent="0.25">
      <c r="A322" s="453">
        <v>311</v>
      </c>
      <c r="B322" s="454" t="s">
        <v>2525</v>
      </c>
      <c r="C322" s="469" t="s">
        <v>2526</v>
      </c>
      <c r="D322" s="456" t="s">
        <v>938</v>
      </c>
      <c r="E322" s="457" t="s">
        <v>2527</v>
      </c>
      <c r="F322" s="458">
        <v>1</v>
      </c>
      <c r="G322" s="514" t="s">
        <v>937</v>
      </c>
      <c r="H322" s="460"/>
      <c r="I322" s="460" t="s">
        <v>251</v>
      </c>
      <c r="J322" s="460"/>
      <c r="K322" s="460" t="s">
        <v>1533</v>
      </c>
      <c r="L322" s="460">
        <v>60005073</v>
      </c>
      <c r="M322" s="461"/>
      <c r="N322" s="461"/>
      <c r="O322" s="516" t="s">
        <v>2211</v>
      </c>
      <c r="P322" s="463" t="str">
        <f>IF(LEFT(B322,5)="09735",
    IF(ISNA(VLOOKUP(Tabla13[[#This Row],[Apoyo]],'LM SAP'!A:G,1,FALSE)),
        "No Disponible",
        IF(VLOOKUP(Tabla13[[#This Row],[Apoyo]],'LM SAP'!A:AD,9,FALSE)="RR",
            "Disponible",
            "Firmas SAP"
        )
    ),
    "CONSULTAR"
)</f>
        <v>No Disponible</v>
      </c>
      <c r="Q322" s="460" t="str">
        <f>MID(Tabla13[[#This Row],[Código Indra]],1,13)</f>
        <v>0973564330221</v>
      </c>
      <c r="R322" s="464" t="str">
        <f>IF(ISNA(VLOOKUP(Tabla13[[#This Row],[Código Indra]],#REF!,1,FALSE)),"NO", "SI")</f>
        <v>SI</v>
      </c>
      <c r="S322" s="460" t="str">
        <f>IF(ISNA(VLOOKUP(Tabla13[[#This Row],[Código Indra]],Tabla132[[Código INDRA]:[Nombre]],1,FALSE)),"NO", "SI")</f>
        <v>NO</v>
      </c>
      <c r="T322" s="465" t="s">
        <v>2005</v>
      </c>
      <c r="U322" s="464" t="s">
        <v>256</v>
      </c>
      <c r="V322" s="464" t="e">
        <f>VLOOKUP(Tabla13[[#This Row],[Apoyo]],'LM SAP'!A:I,9,FALSE)</f>
        <v>#N/A</v>
      </c>
      <c r="X322" s="466">
        <v>0</v>
      </c>
      <c r="Y322" s="464">
        <f>Tabla13[[#This Row],[ID]]</f>
        <v>311</v>
      </c>
    </row>
    <row r="323" spans="1:25" s="464" customFormat="1" ht="36" x14ac:dyDescent="0.25">
      <c r="A323" s="453">
        <v>312</v>
      </c>
      <c r="B323" s="454" t="s">
        <v>2528</v>
      </c>
      <c r="C323" s="469" t="s">
        <v>2529</v>
      </c>
      <c r="D323" s="456" t="s">
        <v>938</v>
      </c>
      <c r="E323" s="457" t="s">
        <v>2530</v>
      </c>
      <c r="F323" s="458">
        <v>1</v>
      </c>
      <c r="G323" s="514" t="s">
        <v>937</v>
      </c>
      <c r="H323" s="460"/>
      <c r="I323" s="460" t="s">
        <v>251</v>
      </c>
      <c r="J323" s="460"/>
      <c r="K323" s="460" t="s">
        <v>1533</v>
      </c>
      <c r="L323" s="460">
        <v>60005073</v>
      </c>
      <c r="M323" s="461"/>
      <c r="N323" s="461"/>
      <c r="O323" s="516" t="s">
        <v>2211</v>
      </c>
      <c r="P323" s="463" t="str">
        <f>IF(LEFT(B323,5)="09735",
    IF(ISNA(VLOOKUP(Tabla13[[#This Row],[Apoyo]],'LM SAP'!A:G,1,FALSE)),
        "No Disponible",
        IF(VLOOKUP(Tabla13[[#This Row],[Apoyo]],'LM SAP'!A:AD,9,FALSE)="RR",
            "Disponible",
            "Firmas SAP"
        )
    ),
    "CONSULTAR"
)</f>
        <v>No Disponible</v>
      </c>
      <c r="Q323" s="460" t="str">
        <f>MID(Tabla13[[#This Row],[Código Indra]],1,13)</f>
        <v>0973564330222</v>
      </c>
      <c r="R323" s="464" t="str">
        <f>IF(ISNA(VLOOKUP(Tabla13[[#This Row],[Código Indra]],#REF!,1,FALSE)),"NO", "SI")</f>
        <v>SI</v>
      </c>
      <c r="S323" s="460" t="str">
        <f>IF(ISNA(VLOOKUP(Tabla13[[#This Row],[Código Indra]],Tabla132[[Código INDRA]:[Nombre]],1,FALSE)),"NO", "SI")</f>
        <v>NO</v>
      </c>
      <c r="T323" s="465" t="s">
        <v>2005</v>
      </c>
      <c r="U323" s="464" t="s">
        <v>256</v>
      </c>
      <c r="V323" s="464" t="e">
        <f>VLOOKUP(Tabla13[[#This Row],[Apoyo]],'LM SAP'!A:I,9,FALSE)</f>
        <v>#N/A</v>
      </c>
      <c r="X323" s="466">
        <v>0</v>
      </c>
      <c r="Y323" s="464">
        <f>Tabla13[[#This Row],[ID]]</f>
        <v>312</v>
      </c>
    </row>
    <row r="324" spans="1:25" s="464" customFormat="1" ht="36" x14ac:dyDescent="0.25">
      <c r="A324" s="453">
        <v>313</v>
      </c>
      <c r="B324" s="454" t="s">
        <v>2531</v>
      </c>
      <c r="C324" s="469" t="s">
        <v>2532</v>
      </c>
      <c r="D324" s="456" t="s">
        <v>938</v>
      </c>
      <c r="E324" s="457" t="s">
        <v>2533</v>
      </c>
      <c r="F324" s="458">
        <v>1</v>
      </c>
      <c r="G324" s="514" t="s">
        <v>937</v>
      </c>
      <c r="H324" s="460"/>
      <c r="I324" s="460" t="s">
        <v>251</v>
      </c>
      <c r="J324" s="460"/>
      <c r="K324" s="460" t="s">
        <v>1533</v>
      </c>
      <c r="L324" s="460">
        <v>60005073</v>
      </c>
      <c r="M324" s="461"/>
      <c r="N324" s="461"/>
      <c r="O324" s="516" t="s">
        <v>2211</v>
      </c>
      <c r="P324" s="463" t="str">
        <f>IF(LEFT(B324,5)="09735",
    IF(ISNA(VLOOKUP(Tabla13[[#This Row],[Apoyo]],'LM SAP'!A:G,1,FALSE)),
        "No Disponible",
        IF(VLOOKUP(Tabla13[[#This Row],[Apoyo]],'LM SAP'!A:AD,9,FALSE)="RR",
            "Disponible",
            "Firmas SAP"
        )
    ),
    "CONSULTAR"
)</f>
        <v>No Disponible</v>
      </c>
      <c r="Q324" s="460" t="str">
        <f>MID(Tabla13[[#This Row],[Código Indra]],1,13)</f>
        <v>0973564330223</v>
      </c>
      <c r="R324" s="464" t="str">
        <f>IF(ISNA(VLOOKUP(Tabla13[[#This Row],[Código Indra]],#REF!,1,FALSE)),"NO", "SI")</f>
        <v>SI</v>
      </c>
      <c r="S324" s="460" t="str">
        <f>IF(ISNA(VLOOKUP(Tabla13[[#This Row],[Código Indra]],Tabla132[[Código INDRA]:[Nombre]],1,FALSE)),"NO", "SI")</f>
        <v>NO</v>
      </c>
      <c r="T324" s="465" t="s">
        <v>2005</v>
      </c>
      <c r="U324" s="464" t="s">
        <v>256</v>
      </c>
      <c r="V324" s="464" t="e">
        <f>VLOOKUP(Tabla13[[#This Row],[Apoyo]],'LM SAP'!A:I,9,FALSE)</f>
        <v>#N/A</v>
      </c>
      <c r="X324" s="466">
        <v>0</v>
      </c>
      <c r="Y324" s="464">
        <f>Tabla13[[#This Row],[ID]]</f>
        <v>313</v>
      </c>
    </row>
    <row r="325" spans="1:25" s="464" customFormat="1" ht="36" x14ac:dyDescent="0.25">
      <c r="A325" s="453">
        <v>314</v>
      </c>
      <c r="B325" s="454" t="s">
        <v>2534</v>
      </c>
      <c r="C325" s="469" t="s">
        <v>2535</v>
      </c>
      <c r="D325" s="456" t="s">
        <v>938</v>
      </c>
      <c r="E325" s="457" t="s">
        <v>2536</v>
      </c>
      <c r="F325" s="458">
        <v>1</v>
      </c>
      <c r="G325" s="514" t="s">
        <v>937</v>
      </c>
      <c r="H325" s="460"/>
      <c r="I325" s="460" t="s">
        <v>251</v>
      </c>
      <c r="J325" s="460"/>
      <c r="K325" s="460" t="s">
        <v>1533</v>
      </c>
      <c r="L325" s="460">
        <v>60005073</v>
      </c>
      <c r="M325" s="461"/>
      <c r="N325" s="461"/>
      <c r="O325" s="516" t="s">
        <v>2211</v>
      </c>
      <c r="P325" s="463" t="str">
        <f>IF(LEFT(B325,5)="09735",
    IF(ISNA(VLOOKUP(Tabla13[[#This Row],[Apoyo]],'LM SAP'!A:G,1,FALSE)),
        "No Disponible",
        IF(VLOOKUP(Tabla13[[#This Row],[Apoyo]],'LM SAP'!A:AD,9,FALSE)="RR",
            "Disponible",
            "Firmas SAP"
        )
    ),
    "CONSULTAR"
)</f>
        <v>No Disponible</v>
      </c>
      <c r="Q325" s="460" t="str">
        <f>MID(Tabla13[[#This Row],[Código Indra]],1,13)</f>
        <v>0973564330224</v>
      </c>
      <c r="R325" s="464" t="str">
        <f>IF(ISNA(VLOOKUP(Tabla13[[#This Row],[Código Indra]],#REF!,1,FALSE)),"NO", "SI")</f>
        <v>SI</v>
      </c>
      <c r="S325" s="460" t="str">
        <f>IF(ISNA(VLOOKUP(Tabla13[[#This Row],[Código Indra]],Tabla132[[Código INDRA]:[Nombre]],1,FALSE)),"NO", "SI")</f>
        <v>NO</v>
      </c>
      <c r="T325" s="465" t="s">
        <v>2005</v>
      </c>
      <c r="U325" s="464" t="s">
        <v>256</v>
      </c>
      <c r="V325" s="464" t="e">
        <f>VLOOKUP(Tabla13[[#This Row],[Apoyo]],'LM SAP'!A:I,9,FALSE)</f>
        <v>#N/A</v>
      </c>
      <c r="X325" s="466">
        <v>0</v>
      </c>
      <c r="Y325" s="464">
        <f>Tabla13[[#This Row],[ID]]</f>
        <v>314</v>
      </c>
    </row>
    <row r="326" spans="1:25" s="464" customFormat="1" ht="36" x14ac:dyDescent="0.25">
      <c r="A326" s="453">
        <v>315</v>
      </c>
      <c r="B326" s="454" t="s">
        <v>2537</v>
      </c>
      <c r="C326" s="469" t="s">
        <v>2538</v>
      </c>
      <c r="D326" s="456" t="s">
        <v>938</v>
      </c>
      <c r="E326" s="457" t="s">
        <v>2539</v>
      </c>
      <c r="F326" s="458">
        <v>1</v>
      </c>
      <c r="G326" s="514" t="s">
        <v>937</v>
      </c>
      <c r="H326" s="460"/>
      <c r="I326" s="460" t="s">
        <v>251</v>
      </c>
      <c r="J326" s="460"/>
      <c r="K326" s="460" t="s">
        <v>1533</v>
      </c>
      <c r="L326" s="460">
        <v>60005073</v>
      </c>
      <c r="M326" s="461"/>
      <c r="N326" s="461"/>
      <c r="O326" s="516" t="s">
        <v>2211</v>
      </c>
      <c r="P326" s="463" t="str">
        <f>IF(LEFT(B326,5)="09735",
    IF(ISNA(VLOOKUP(Tabla13[[#This Row],[Apoyo]],'LM SAP'!A:G,1,FALSE)),
        "No Disponible",
        IF(VLOOKUP(Tabla13[[#This Row],[Apoyo]],'LM SAP'!A:AD,9,FALSE)="RR",
            "Disponible",
            "Firmas SAP"
        )
    ),
    "CONSULTAR"
)</f>
        <v>No Disponible</v>
      </c>
      <c r="Q326" s="460" t="str">
        <f>MID(Tabla13[[#This Row],[Código Indra]],1,13)</f>
        <v>0973564330225</v>
      </c>
      <c r="R326" s="464" t="str">
        <f>IF(ISNA(VLOOKUP(Tabla13[[#This Row],[Código Indra]],#REF!,1,FALSE)),"NO", "SI")</f>
        <v>SI</v>
      </c>
      <c r="S326" s="460" t="str">
        <f>IF(ISNA(VLOOKUP(Tabla13[[#This Row],[Código Indra]],Tabla132[[Código INDRA]:[Nombre]],1,FALSE)),"NO", "SI")</f>
        <v>NO</v>
      </c>
      <c r="T326" s="465" t="s">
        <v>2005</v>
      </c>
      <c r="U326" s="464" t="s">
        <v>256</v>
      </c>
      <c r="V326" s="464" t="e">
        <f>VLOOKUP(Tabla13[[#This Row],[Apoyo]],'LM SAP'!A:I,9,FALSE)</f>
        <v>#N/A</v>
      </c>
      <c r="X326" s="466">
        <v>0</v>
      </c>
      <c r="Y326" s="464">
        <f>Tabla13[[#This Row],[ID]]</f>
        <v>315</v>
      </c>
    </row>
    <row r="327" spans="1:25" s="464" customFormat="1" ht="36" x14ac:dyDescent="0.25">
      <c r="A327" s="453">
        <v>316</v>
      </c>
      <c r="B327" s="454" t="s">
        <v>600</v>
      </c>
      <c r="C327" s="455" t="s">
        <v>601</v>
      </c>
      <c r="D327" s="456" t="s">
        <v>1860</v>
      </c>
      <c r="E327" s="457" t="s">
        <v>2540</v>
      </c>
      <c r="F327" s="458">
        <v>1</v>
      </c>
      <c r="G327" s="459"/>
      <c r="H327" s="460"/>
      <c r="I327" s="460" t="s">
        <v>251</v>
      </c>
      <c r="J327" s="460"/>
      <c r="K327" s="460" t="s">
        <v>1411</v>
      </c>
      <c r="L327" s="460">
        <v>60005189</v>
      </c>
      <c r="M327" s="461">
        <v>45622</v>
      </c>
      <c r="N327" s="461">
        <v>45666</v>
      </c>
      <c r="O327" s="470" t="s">
        <v>2541</v>
      </c>
      <c r="P327" s="463" t="str">
        <f>IF(LEFT(B327,5)="09735",
    IF(ISNA(VLOOKUP(Tabla13[[#This Row],[Apoyo]],'LM SAP'!A:G,1,FALSE)),
        "No Disponible",
        IF(VLOOKUP(Tabla13[[#This Row],[Apoyo]],'LM SAP'!A:AD,9,FALSE)="RR",
            "Disponible",
            "Firmas SAP"
        )
    ),
    "CONSULTAR"
)</f>
        <v>No Disponible</v>
      </c>
      <c r="Q327" s="460" t="str">
        <f>MID(Tabla13[[#This Row],[Código Indra]],1,13)</f>
        <v>0973524330300</v>
      </c>
      <c r="R327" s="464" t="str">
        <f>IF(ISNA(VLOOKUP(Tabla13[[#This Row],[Código Indra]],#REF!,1,FALSE)),"NO", "SI")</f>
        <v>SI</v>
      </c>
      <c r="S327" s="460" t="str">
        <f>IF(ISNA(VLOOKUP(Tabla13[[#This Row],[Código Indra]],Tabla132[[Código INDRA]:[Nombre]],1,FALSE)),"NO", "SI")</f>
        <v>NO</v>
      </c>
      <c r="T327" s="465" t="s">
        <v>2005</v>
      </c>
      <c r="U327" s="464" t="s">
        <v>256</v>
      </c>
      <c r="V327" s="464" t="e">
        <f>VLOOKUP(Tabla13[[#This Row],[Apoyo]],'LM SAP'!A:I,9,FALSE)</f>
        <v>#N/A</v>
      </c>
      <c r="W327" s="464" t="s">
        <v>234</v>
      </c>
      <c r="X327" s="466">
        <v>0</v>
      </c>
      <c r="Y327" s="464">
        <f>Tabla13[[#This Row],[ID]]</f>
        <v>316</v>
      </c>
    </row>
    <row r="328" spans="1:25" s="464" customFormat="1" ht="36" x14ac:dyDescent="0.25">
      <c r="A328" s="453">
        <v>317</v>
      </c>
      <c r="B328" s="454" t="s">
        <v>1062</v>
      </c>
      <c r="C328" s="469" t="s">
        <v>1063</v>
      </c>
      <c r="D328" s="456" t="s">
        <v>601</v>
      </c>
      <c r="E328" s="457" t="s">
        <v>1064</v>
      </c>
      <c r="F328" s="458">
        <v>1</v>
      </c>
      <c r="G328" s="457" t="s">
        <v>600</v>
      </c>
      <c r="H328" s="460"/>
      <c r="I328" s="460" t="s">
        <v>251</v>
      </c>
      <c r="J328" s="460"/>
      <c r="K328" s="460" t="s">
        <v>1533</v>
      </c>
      <c r="L328" s="460">
        <v>60005189</v>
      </c>
      <c r="M328" s="461">
        <v>45622</v>
      </c>
      <c r="N328" s="461">
        <v>45666</v>
      </c>
      <c r="O328" s="516" t="s">
        <v>2211</v>
      </c>
      <c r="P328" s="511" t="s">
        <v>474</v>
      </c>
      <c r="Q328" s="460" t="str">
        <f>MID(Tabla13[[#This Row],[Código Indra]],1,13)</f>
        <v>0973544330310</v>
      </c>
      <c r="R328" s="464" t="str">
        <f>IF(ISNA(VLOOKUP(Tabla13[[#This Row],[Código Indra]],#REF!,1,FALSE)),"NO", "SI")</f>
        <v>SI</v>
      </c>
      <c r="S328" s="460" t="str">
        <f>IF(ISNA(VLOOKUP(Tabla13[[#This Row],[Código Indra]],Tabla132[[Código INDRA]:[Nombre]],1,FALSE)),"NO", "SI")</f>
        <v>NO</v>
      </c>
      <c r="T328" s="465" t="s">
        <v>2005</v>
      </c>
      <c r="U328" s="464" t="s">
        <v>256</v>
      </c>
      <c r="V328" s="464" t="e">
        <f>VLOOKUP(Tabla13[[#This Row],[Apoyo]],'LM SAP'!A:I,9,FALSE)</f>
        <v>#N/A</v>
      </c>
      <c r="W328" s="464" t="s">
        <v>234</v>
      </c>
      <c r="X328" s="466">
        <v>0</v>
      </c>
      <c r="Y328" s="464">
        <f>Tabla13[[#This Row],[ID]]</f>
        <v>317</v>
      </c>
    </row>
    <row r="329" spans="1:25" s="464" customFormat="1" ht="36" x14ac:dyDescent="0.25">
      <c r="A329" s="453">
        <v>318</v>
      </c>
      <c r="B329" s="454" t="s">
        <v>1066</v>
      </c>
      <c r="C329" s="469" t="s">
        <v>1067</v>
      </c>
      <c r="D329" s="456" t="s">
        <v>601</v>
      </c>
      <c r="E329" s="457" t="s">
        <v>1068</v>
      </c>
      <c r="F329" s="458">
        <v>1</v>
      </c>
      <c r="G329" s="457" t="s">
        <v>600</v>
      </c>
      <c r="H329" s="460"/>
      <c r="I329" s="460" t="s">
        <v>251</v>
      </c>
      <c r="J329" s="460"/>
      <c r="K329" s="460" t="s">
        <v>1533</v>
      </c>
      <c r="L329" s="460">
        <v>60005189</v>
      </c>
      <c r="M329" s="461">
        <v>45622</v>
      </c>
      <c r="N329" s="461">
        <v>45666</v>
      </c>
      <c r="O329" s="516" t="s">
        <v>2211</v>
      </c>
      <c r="P329" s="511" t="s">
        <v>474</v>
      </c>
      <c r="Q329" s="460" t="str">
        <f>MID(Tabla13[[#This Row],[Código Indra]],1,13)</f>
        <v>0973544330311</v>
      </c>
      <c r="R329" s="464" t="str">
        <f>IF(ISNA(VLOOKUP(Tabla13[[#This Row],[Código Indra]],#REF!,1,FALSE)),"NO", "SI")</f>
        <v>SI</v>
      </c>
      <c r="S329" s="460" t="str">
        <f>IF(ISNA(VLOOKUP(Tabla13[[#This Row],[Código Indra]],Tabla132[[Código INDRA]:[Nombre]],1,FALSE)),"NO", "SI")</f>
        <v>NO</v>
      </c>
      <c r="T329" s="465" t="s">
        <v>2005</v>
      </c>
      <c r="U329" s="464" t="s">
        <v>256</v>
      </c>
      <c r="V329" s="464" t="e">
        <f>VLOOKUP(Tabla13[[#This Row],[Apoyo]],'LM SAP'!A:I,9,FALSE)</f>
        <v>#N/A</v>
      </c>
      <c r="W329" s="464" t="s">
        <v>234</v>
      </c>
      <c r="X329" s="466">
        <v>0</v>
      </c>
      <c r="Y329" s="464">
        <f>Tabla13[[#This Row],[ID]]</f>
        <v>318</v>
      </c>
    </row>
    <row r="330" spans="1:25" s="464" customFormat="1" ht="36" x14ac:dyDescent="0.25">
      <c r="A330" s="453">
        <v>319</v>
      </c>
      <c r="B330" s="454" t="s">
        <v>1069</v>
      </c>
      <c r="C330" s="469" t="s">
        <v>1070</v>
      </c>
      <c r="D330" s="456" t="s">
        <v>601</v>
      </c>
      <c r="E330" s="457" t="s">
        <v>1071</v>
      </c>
      <c r="F330" s="458">
        <v>1</v>
      </c>
      <c r="G330" s="457" t="s">
        <v>600</v>
      </c>
      <c r="H330" s="460"/>
      <c r="I330" s="460" t="s">
        <v>251</v>
      </c>
      <c r="J330" s="460"/>
      <c r="K330" s="460" t="s">
        <v>1533</v>
      </c>
      <c r="L330" s="460">
        <v>60005189</v>
      </c>
      <c r="M330" s="461">
        <v>45622</v>
      </c>
      <c r="N330" s="461">
        <v>45666</v>
      </c>
      <c r="O330" s="516" t="s">
        <v>2211</v>
      </c>
      <c r="P330" s="511" t="s">
        <v>474</v>
      </c>
      <c r="Q330" s="460" t="str">
        <f>MID(Tabla13[[#This Row],[Código Indra]],1,13)</f>
        <v>0973544330312</v>
      </c>
      <c r="R330" s="464" t="str">
        <f>IF(ISNA(VLOOKUP(Tabla13[[#This Row],[Código Indra]],#REF!,1,FALSE)),"NO", "SI")</f>
        <v>SI</v>
      </c>
      <c r="S330" s="460" t="str">
        <f>IF(ISNA(VLOOKUP(Tabla13[[#This Row],[Código Indra]],Tabla132[[Código INDRA]:[Nombre]],1,FALSE)),"NO", "SI")</f>
        <v>NO</v>
      </c>
      <c r="T330" s="465" t="s">
        <v>2005</v>
      </c>
      <c r="U330" s="464" t="s">
        <v>256</v>
      </c>
      <c r="V330" s="464" t="e">
        <f>VLOOKUP(Tabla13[[#This Row],[Apoyo]],'LM SAP'!A:I,9,FALSE)</f>
        <v>#N/A</v>
      </c>
      <c r="W330" s="464" t="s">
        <v>234</v>
      </c>
      <c r="X330" s="466">
        <v>0</v>
      </c>
      <c r="Y330" s="464">
        <f>Tabla13[[#This Row],[ID]]</f>
        <v>319</v>
      </c>
    </row>
    <row r="331" spans="1:25" s="464" customFormat="1" ht="36" x14ac:dyDescent="0.25">
      <c r="A331" s="453">
        <v>320</v>
      </c>
      <c r="B331" s="454" t="s">
        <v>1072</v>
      </c>
      <c r="C331" s="469" t="s">
        <v>1073</v>
      </c>
      <c r="D331" s="456" t="s">
        <v>601</v>
      </c>
      <c r="E331" s="457" t="s">
        <v>1074</v>
      </c>
      <c r="F331" s="458">
        <v>1</v>
      </c>
      <c r="G331" s="457" t="s">
        <v>600</v>
      </c>
      <c r="H331" s="460"/>
      <c r="I331" s="460" t="s">
        <v>251</v>
      </c>
      <c r="J331" s="460"/>
      <c r="K331" s="460" t="s">
        <v>1533</v>
      </c>
      <c r="L331" s="460">
        <v>60005189</v>
      </c>
      <c r="M331" s="461">
        <v>45622</v>
      </c>
      <c r="N331" s="461">
        <v>45666</v>
      </c>
      <c r="O331" s="516" t="s">
        <v>2211</v>
      </c>
      <c r="P331" s="511" t="s">
        <v>474</v>
      </c>
      <c r="Q331" s="460" t="str">
        <f>MID(Tabla13[[#This Row],[Código Indra]],1,13)</f>
        <v>0973544330313</v>
      </c>
      <c r="R331" s="464" t="str">
        <f>IF(ISNA(VLOOKUP(Tabla13[[#This Row],[Código Indra]],#REF!,1,FALSE)),"NO", "SI")</f>
        <v>SI</v>
      </c>
      <c r="S331" s="460" t="str">
        <f>IF(ISNA(VLOOKUP(Tabla13[[#This Row],[Código Indra]],Tabla132[[Código INDRA]:[Nombre]],1,FALSE)),"NO", "SI")</f>
        <v>NO</v>
      </c>
      <c r="T331" s="465" t="s">
        <v>2005</v>
      </c>
      <c r="U331" s="464" t="s">
        <v>256</v>
      </c>
      <c r="V331" s="464" t="e">
        <f>VLOOKUP(Tabla13[[#This Row],[Apoyo]],'LM SAP'!A:I,9,FALSE)</f>
        <v>#N/A</v>
      </c>
      <c r="W331" s="464" t="s">
        <v>234</v>
      </c>
      <c r="X331" s="466">
        <v>0</v>
      </c>
      <c r="Y331" s="464">
        <f>Tabla13[[#This Row],[ID]]</f>
        <v>320</v>
      </c>
    </row>
    <row r="332" spans="1:25" s="464" customFormat="1" ht="24" x14ac:dyDescent="0.25">
      <c r="A332" s="453">
        <v>321</v>
      </c>
      <c r="B332" s="454" t="s">
        <v>1051</v>
      </c>
      <c r="C332" s="455" t="s">
        <v>1862</v>
      </c>
      <c r="D332" s="456" t="s">
        <v>1860</v>
      </c>
      <c r="E332" s="457" t="s">
        <v>1053</v>
      </c>
      <c r="F332" s="458">
        <v>1</v>
      </c>
      <c r="G332" s="459"/>
      <c r="H332" s="460"/>
      <c r="I332" s="460" t="s">
        <v>251</v>
      </c>
      <c r="J332" s="460"/>
      <c r="K332" s="460" t="s">
        <v>1411</v>
      </c>
      <c r="L332" s="460">
        <v>60005102</v>
      </c>
      <c r="M332" s="461">
        <v>45617</v>
      </c>
      <c r="N332" s="461">
        <v>45630</v>
      </c>
      <c r="O332" s="470" t="s">
        <v>1054</v>
      </c>
      <c r="P332" s="463" t="str">
        <f>IF(LEFT(B332,5)="09735",
    IF(ISNA(VLOOKUP(Tabla13[[#This Row],[Apoyo]],'LM SAP'!A:G,1,FALSE)),
        "No Disponible",
        IF(VLOOKUP(Tabla13[[#This Row],[Apoyo]],'LM SAP'!A:AD,9,FALSE)="RR",
            "Disponible",
            "Firmas SAP"
        )
    ),
    "CONSULTAR"
)</f>
        <v>No Disponible</v>
      </c>
      <c r="Q332" s="460" t="str">
        <f>MID(Tabla13[[#This Row],[Código Indra]],1,13)</f>
        <v>0973524330400</v>
      </c>
      <c r="R332" s="464" t="str">
        <f>IF(ISNA(VLOOKUP(Tabla13[[#This Row],[Código Indra]],#REF!,1,FALSE)),"NO", "SI")</f>
        <v>SI</v>
      </c>
      <c r="S332" s="460" t="str">
        <f>IF(ISNA(VLOOKUP(Tabla13[[#This Row],[Código Indra]],Tabla132[[Código INDRA]:[Nombre]],1,FALSE)),"NO", "SI")</f>
        <v>NO</v>
      </c>
      <c r="T332" s="465" t="s">
        <v>2005</v>
      </c>
      <c r="U332" s="464" t="s">
        <v>256</v>
      </c>
      <c r="V332" s="464" t="e">
        <f>VLOOKUP(Tabla13[[#This Row],[Apoyo]],'LM SAP'!A:I,9,FALSE)</f>
        <v>#N/A</v>
      </c>
      <c r="W332" s="464" t="s">
        <v>234</v>
      </c>
      <c r="X332" s="466">
        <v>0</v>
      </c>
      <c r="Y332" s="464">
        <f>Tabla13[[#This Row],[ID]]</f>
        <v>321</v>
      </c>
    </row>
    <row r="333" spans="1:25" s="464" customFormat="1" ht="36" x14ac:dyDescent="0.25">
      <c r="A333" s="453">
        <v>322</v>
      </c>
      <c r="B333" s="454" t="s">
        <v>2542</v>
      </c>
      <c r="C333" s="469" t="s">
        <v>2543</v>
      </c>
      <c r="D333" s="456" t="s">
        <v>1862</v>
      </c>
      <c r="E333" s="457" t="s">
        <v>2544</v>
      </c>
      <c r="F333" s="458">
        <v>1</v>
      </c>
      <c r="G333" s="514" t="s">
        <v>1051</v>
      </c>
      <c r="H333" s="460"/>
      <c r="I333" s="460" t="s">
        <v>251</v>
      </c>
      <c r="J333" s="460"/>
      <c r="K333" s="460" t="s">
        <v>1533</v>
      </c>
      <c r="L333" s="460">
        <v>60005102</v>
      </c>
      <c r="M333" s="461"/>
      <c r="N333" s="461"/>
      <c r="O333" s="516" t="s">
        <v>2211</v>
      </c>
      <c r="P333" s="463" t="str">
        <f>IF(LEFT(B333,5)="09735",
    IF(ISNA(VLOOKUP(Tabla13[[#This Row],[Apoyo]],'LM SAP'!A:G,1,FALSE)),
        "No Disponible",
        IF(VLOOKUP(Tabla13[[#This Row],[Apoyo]],'LM SAP'!A:AD,9,FALSE)="RR",
            "Disponible",
            "Firmas SAP"
        )
    ),
    "CONSULTAR"
)</f>
        <v>No Disponible</v>
      </c>
      <c r="Q333" s="460" t="str">
        <f>MID(Tabla13[[#This Row],[Código Indra]],1,13)</f>
        <v>0973544330400</v>
      </c>
      <c r="R333" s="464" t="str">
        <f>IF(ISNA(VLOOKUP(Tabla13[[#This Row],[Código Indra]],#REF!,1,FALSE)),"NO", "SI")</f>
        <v>SI</v>
      </c>
      <c r="S333" s="460" t="str">
        <f>IF(ISNA(VLOOKUP(Tabla13[[#This Row],[Código Indra]],Tabla132[[Código INDRA]:[Nombre]],1,FALSE)),"NO", "SI")</f>
        <v>NO</v>
      </c>
      <c r="T333" s="465" t="s">
        <v>2005</v>
      </c>
      <c r="U333" s="464" t="s">
        <v>256</v>
      </c>
      <c r="V333" s="464" t="e">
        <f>VLOOKUP(Tabla13[[#This Row],[Apoyo]],'LM SAP'!A:I,9,FALSE)</f>
        <v>#N/A</v>
      </c>
      <c r="X333" s="466">
        <v>0</v>
      </c>
      <c r="Y333" s="464">
        <f>Tabla13[[#This Row],[ID]]</f>
        <v>322</v>
      </c>
    </row>
    <row r="334" spans="1:25" s="464" customFormat="1" ht="36" x14ac:dyDescent="0.25">
      <c r="A334" s="453">
        <v>323</v>
      </c>
      <c r="B334" s="454" t="s">
        <v>2545</v>
      </c>
      <c r="C334" s="463" t="s">
        <v>2546</v>
      </c>
      <c r="D334" s="534" t="s">
        <v>1862</v>
      </c>
      <c r="E334" s="457" t="s">
        <v>2547</v>
      </c>
      <c r="F334" s="458">
        <v>1</v>
      </c>
      <c r="G334" s="514" t="s">
        <v>1051</v>
      </c>
      <c r="H334" s="460"/>
      <c r="I334" s="460" t="s">
        <v>251</v>
      </c>
      <c r="J334" s="460"/>
      <c r="K334" s="460" t="s">
        <v>1533</v>
      </c>
      <c r="L334" s="460">
        <v>60005102</v>
      </c>
      <c r="M334" s="461"/>
      <c r="N334" s="461"/>
      <c r="O334" s="516" t="s">
        <v>2211</v>
      </c>
      <c r="P334" s="463" t="str">
        <f>IF(LEFT(B334,5)="09735",
    IF(ISNA(VLOOKUP(Tabla13[[#This Row],[Apoyo]],'LM SAP'!A:G,1,FALSE)),
        "No Disponible",
        IF(VLOOKUP(Tabla13[[#This Row],[Apoyo]],'LM SAP'!A:AD,9,FALSE)="RR",
            "Disponible",
            "Firmas SAP"
        )
    ),
    "CONSULTAR"
)</f>
        <v>No Disponible</v>
      </c>
      <c r="Q334" s="460" t="str">
        <f>MID(Tabla13[[#This Row],[Código Indra]],1,13)</f>
        <v>0973544330500</v>
      </c>
      <c r="R334" s="464" t="str">
        <f>IF(ISNA(VLOOKUP(Tabla13[[#This Row],[Código Indra]],#REF!,1,FALSE)),"NO", "SI")</f>
        <v>SI</v>
      </c>
      <c r="S334" s="460" t="str">
        <f>IF(ISNA(VLOOKUP(Tabla13[[#This Row],[Código Indra]],Tabla132[[Código INDRA]:[Nombre]],1,FALSE)),"NO", "SI")</f>
        <v>NO</v>
      </c>
      <c r="T334" s="465" t="s">
        <v>2005</v>
      </c>
      <c r="U334" s="464" t="s">
        <v>256</v>
      </c>
      <c r="V334" s="464" t="e">
        <f>VLOOKUP(Tabla13[[#This Row],[Apoyo]],'LM SAP'!A:I,9,FALSE)</f>
        <v>#N/A</v>
      </c>
      <c r="X334" s="466">
        <v>0</v>
      </c>
      <c r="Y334" s="464">
        <f>Tabla13[[#This Row],[ID]]</f>
        <v>323</v>
      </c>
    </row>
    <row r="335" spans="1:25" s="464" customFormat="1" x14ac:dyDescent="0.25">
      <c r="A335" s="453">
        <v>324</v>
      </c>
      <c r="B335" s="454" t="s">
        <v>1391</v>
      </c>
      <c r="C335" s="469" t="s">
        <v>1392</v>
      </c>
      <c r="D335" s="456" t="s">
        <v>1862</v>
      </c>
      <c r="E335" s="457" t="s">
        <v>700</v>
      </c>
      <c r="F335" s="458">
        <v>1</v>
      </c>
      <c r="G335" s="514" t="s">
        <v>1051</v>
      </c>
      <c r="H335" s="460" t="s">
        <v>2000</v>
      </c>
      <c r="I335" s="460" t="s">
        <v>251</v>
      </c>
      <c r="J335" s="460" t="s">
        <v>1318</v>
      </c>
      <c r="K335" s="460" t="s">
        <v>1521</v>
      </c>
      <c r="L335" s="460">
        <v>60005126</v>
      </c>
      <c r="M335" s="461">
        <v>45617</v>
      </c>
      <c r="N335" s="461">
        <v>45625</v>
      </c>
      <c r="O335" s="470" t="s">
        <v>2548</v>
      </c>
      <c r="P335" s="463" t="str">
        <f>IF(LEFT(B335,5)="09735",
    IF(ISNA(VLOOKUP(Tabla13[[#This Row],[Apoyo]],'LM SAP'!A:G,1,FALSE)),
        "No Disponible",
        IF(VLOOKUP(Tabla13[[#This Row],[Apoyo]],'LM SAP'!A:AD,9,FALSE)="RR",
            "Disponible",
            "Firmas SAP"
        )
    ),
    "CONSULTAR"
)</f>
        <v>CONSULTAR</v>
      </c>
      <c r="Q335" s="460" t="str">
        <f>MID(Tabla13[[#This Row],[Código Indra]],1,13)</f>
        <v>0971725344500</v>
      </c>
      <c r="R335" s="464" t="str">
        <f>IF(ISNA(VLOOKUP(Tabla13[[#This Row],[Código Indra]],#REF!,1,FALSE)),"NO", "SI")</f>
        <v>SI</v>
      </c>
      <c r="S335" s="460" t="str">
        <f>IF(ISNA(VLOOKUP(Tabla13[[#This Row],[Código Indra]],Tabla132[[Código INDRA]:[Nombre]],1,FALSE)),"NO", "SI")</f>
        <v>NO</v>
      </c>
      <c r="T335" s="465"/>
      <c r="U335" s="511" t="s">
        <v>256</v>
      </c>
      <c r="V335" s="464" t="e">
        <f>VLOOKUP(Tabla13[[#This Row],[Apoyo]],'LM SAP'!A:I,9,FALSE)</f>
        <v>#N/A</v>
      </c>
      <c r="W335" s="464" t="s">
        <v>234</v>
      </c>
      <c r="X335" s="466">
        <v>0.5</v>
      </c>
      <c r="Y335" s="464">
        <f>Tabla13[[#This Row],[ID]]</f>
        <v>324</v>
      </c>
    </row>
    <row r="336" spans="1:25" s="464" customFormat="1" ht="96" x14ac:dyDescent="0.25">
      <c r="A336" s="453">
        <v>325</v>
      </c>
      <c r="B336" s="535" t="s">
        <v>2549</v>
      </c>
      <c r="C336" s="469" t="s">
        <v>1392</v>
      </c>
      <c r="D336" s="456" t="s">
        <v>1862</v>
      </c>
      <c r="E336" s="457"/>
      <c r="F336" s="458">
        <v>1</v>
      </c>
      <c r="G336" s="536" t="s">
        <v>1051</v>
      </c>
      <c r="H336" s="460"/>
      <c r="I336" s="460" t="s">
        <v>666</v>
      </c>
      <c r="J336" s="460" t="s">
        <v>1318</v>
      </c>
      <c r="K336" s="517" t="s">
        <v>1411</v>
      </c>
      <c r="L336" s="517">
        <v>60006915</v>
      </c>
      <c r="M336" s="461">
        <v>45812</v>
      </c>
      <c r="N336" s="518">
        <v>45818</v>
      </c>
      <c r="O336" s="519" t="s">
        <v>2550</v>
      </c>
      <c r="P336" s="520" t="str">
        <f>IF(LEFT(B336,5)="09735",
    IF(ISNA(VLOOKUP(Tabla13[[#This Row],[Apoyo]],'LM SAP'!A:G,1,FALSE)),
        "No Disponible",
        IF(VLOOKUP(Tabla13[[#This Row],[Apoyo]],'LM SAP'!A:AD,9,FALSE)="RR",
            "Disponible",
            "Firmas SAP"
        )
    ),
    "CONSULTAR"
)</f>
        <v>No Disponible</v>
      </c>
      <c r="Q336" s="460" t="str">
        <f>MID(Tabla13[[#This Row],[Código Indra]],1,13)</f>
        <v>0973525334500</v>
      </c>
      <c r="R336" s="464" t="str">
        <f>IF(ISNA(VLOOKUP(Tabla13[[#This Row],[Código Indra]],#REF!,1,FALSE)),"NO", "SI")</f>
        <v>SI</v>
      </c>
      <c r="S336" s="460" t="str">
        <f>IF(ISNA(VLOOKUP(Tabla13[[#This Row],[Código Indra]],Tabla132[[Código INDRA]:[Nombre]],1,FALSE)),"NO", "SI")</f>
        <v>NO</v>
      </c>
      <c r="T336" s="465"/>
      <c r="U336" s="510" t="s">
        <v>256</v>
      </c>
      <c r="V336" s="464" t="e">
        <f>VLOOKUP(Tabla13[[#This Row],[Apoyo]],'LM SAP'!A:I,9,FALSE)</f>
        <v>#N/A</v>
      </c>
      <c r="X336" s="466"/>
      <c r="Y336" s="464">
        <f>Tabla13[[#This Row],[ID]]</f>
        <v>325</v>
      </c>
    </row>
    <row r="337" spans="1:25" s="464" customFormat="1" ht="72" x14ac:dyDescent="0.25">
      <c r="A337" s="453">
        <v>326</v>
      </c>
      <c r="B337" s="454" t="s">
        <v>1393</v>
      </c>
      <c r="C337" s="469" t="s">
        <v>1394</v>
      </c>
      <c r="D337" s="456" t="s">
        <v>1862</v>
      </c>
      <c r="E337" s="457" t="s">
        <v>2551</v>
      </c>
      <c r="F337" s="458">
        <v>1</v>
      </c>
      <c r="G337" s="459" t="s">
        <v>260</v>
      </c>
      <c r="H337" s="460" t="s">
        <v>2000</v>
      </c>
      <c r="I337" s="460" t="s">
        <v>251</v>
      </c>
      <c r="J337" s="460" t="s">
        <v>1318</v>
      </c>
      <c r="K337" s="512" t="s">
        <v>1411</v>
      </c>
      <c r="L337" s="460">
        <v>60005430</v>
      </c>
      <c r="M337" s="461">
        <v>45643</v>
      </c>
      <c r="N337" s="461">
        <v>45678</v>
      </c>
      <c r="O337" s="476" t="s">
        <v>2552</v>
      </c>
      <c r="P337" s="463" t="str">
        <f>IF(LEFT(B337,5)="09735",
    IF(ISNA(VLOOKUP(Tabla13[[#This Row],[Apoyo]],'LM SAP'!A:G,1,FALSE)),
        "No Disponible",
        IF(VLOOKUP(Tabla13[[#This Row],[Apoyo]],'LM SAP'!A:AD,9,FALSE)="RR",
            "Disponible",
            "Firmas SAP"
        )
    ),
    "CONSULTAR"
)</f>
        <v>Disponible</v>
      </c>
      <c r="Q337" s="460" t="str">
        <f>MID(Tabla13[[#This Row],[Código Indra]],1,13)</f>
        <v>0973525334600</v>
      </c>
      <c r="R337" s="464" t="str">
        <f>IF(ISNA(VLOOKUP(Tabla13[[#This Row],[Código Indra]],#REF!,1,FALSE)),"NO", "SI")</f>
        <v>SI</v>
      </c>
      <c r="S337" s="460" t="str">
        <f>IF(ISNA(VLOOKUP(Tabla13[[#This Row],[Código Indra]],Tabla132[[Código INDRA]:[Nombre]],1,FALSE)),"NO", "SI")</f>
        <v>NO</v>
      </c>
      <c r="T337" s="465" t="s">
        <v>2159</v>
      </c>
      <c r="U337" s="464" t="s">
        <v>256</v>
      </c>
      <c r="V337" s="464" t="str">
        <f>VLOOKUP(Tabla13[[#This Row],[Apoyo]],'LM SAP'!A:I,9,FALSE)</f>
        <v>RR</v>
      </c>
      <c r="W337" s="464" t="s">
        <v>234</v>
      </c>
      <c r="X337" s="466"/>
      <c r="Y337" s="464">
        <f>Tabla13[[#This Row],[ID]]</f>
        <v>326</v>
      </c>
    </row>
    <row r="338" spans="1:25" s="464" customFormat="1" ht="36" x14ac:dyDescent="0.25">
      <c r="A338" s="453">
        <v>327</v>
      </c>
      <c r="B338" s="454" t="s">
        <v>1865</v>
      </c>
      <c r="C338" s="469" t="s">
        <v>961</v>
      </c>
      <c r="D338" s="456"/>
      <c r="E338" s="457" t="s">
        <v>700</v>
      </c>
      <c r="F338" s="458">
        <v>1</v>
      </c>
      <c r="G338" s="459"/>
      <c r="H338" s="460"/>
      <c r="I338" s="460" t="s">
        <v>2011</v>
      </c>
      <c r="J338" s="460"/>
      <c r="K338" s="460" t="s">
        <v>1411</v>
      </c>
      <c r="L338" s="460">
        <v>60006455</v>
      </c>
      <c r="M338" s="461">
        <v>45740</v>
      </c>
      <c r="N338" s="461"/>
      <c r="O338" s="537" t="s">
        <v>2553</v>
      </c>
      <c r="P338" s="463" t="str">
        <f>IF(LEFT(B338,5)="09735",
    IF(ISNA(VLOOKUP(Tabla13[[#This Row],[Apoyo]],'LM SAP'!A:G,1,FALSE)),
        "No Disponible",
        IF(VLOOKUP(Tabla13[[#This Row],[Apoyo]],'LM SAP'!A:AD,9,FALSE)="RR",
            "Disponible",
            "Firmas SAP"
        )
    ),
    "CONSULTAR"
)</f>
        <v>No Disponible</v>
      </c>
      <c r="Q338" s="460" t="str">
        <f>MID(Tabla13[[#This Row],[Código Indra]],1,13)</f>
        <v>0973525390000</v>
      </c>
      <c r="R338" s="464" t="str">
        <f>IF(ISNA(VLOOKUP(Tabla13[[#This Row],[Código Indra]],#REF!,1,FALSE)),"NO", "SI")</f>
        <v>SI</v>
      </c>
      <c r="S338" s="460" t="str">
        <f>IF(ISNA(VLOOKUP(Tabla13[[#This Row],[Código Indra]],Tabla132[[Código INDRA]:[Nombre]],1,FALSE)),"NO", "SI")</f>
        <v>SI</v>
      </c>
      <c r="T338" s="465"/>
      <c r="U338" s="464" t="s">
        <v>256</v>
      </c>
      <c r="V338" s="464" t="e">
        <f>VLOOKUP(Tabla13[[#This Row],[Apoyo]],'LM SAP'!A:I,9,FALSE)</f>
        <v>#N/A</v>
      </c>
      <c r="X338" s="466"/>
      <c r="Y338" s="464">
        <f>Tabla13[[#This Row],[ID]]</f>
        <v>327</v>
      </c>
    </row>
    <row r="339" spans="1:25" s="464" customFormat="1" ht="24" x14ac:dyDescent="0.25">
      <c r="A339" s="453">
        <v>328</v>
      </c>
      <c r="B339" s="471" t="s">
        <v>118</v>
      </c>
      <c r="C339" s="455" t="s">
        <v>119</v>
      </c>
      <c r="D339" s="456" t="s">
        <v>1995</v>
      </c>
      <c r="E339" s="457" t="s">
        <v>2554</v>
      </c>
      <c r="F339" s="458">
        <v>1</v>
      </c>
      <c r="G339" s="459"/>
      <c r="H339" s="460"/>
      <c r="I339" s="460" t="s">
        <v>2011</v>
      </c>
      <c r="J339" s="460" t="s">
        <v>1318</v>
      </c>
      <c r="K339" s="460" t="s">
        <v>1411</v>
      </c>
      <c r="L339" s="538">
        <v>60005660</v>
      </c>
      <c r="M339" s="461">
        <v>45683</v>
      </c>
      <c r="N339" s="461">
        <v>45688</v>
      </c>
      <c r="O339" s="475" t="s">
        <v>2555</v>
      </c>
      <c r="P339" s="463" t="str">
        <f>IF(LEFT(B339,5)="09735",
    IF(ISNA(VLOOKUP(Tabla13[[#This Row],[Apoyo]],'LM SAP'!A:G,1,FALSE)),
        "No Disponible",
        IF(VLOOKUP(Tabla13[[#This Row],[Apoyo]],'LM SAP'!A:AD,9,FALSE)="RR",
            "Disponible",
            "Firmas SAP"
        )
    ),
    "CONSULTAR"
)</f>
        <v>No Disponible</v>
      </c>
      <c r="Q339" s="460" t="str">
        <f>MID(Tabla13[[#This Row],[Código Indra]],1,13)</f>
        <v>0973525400000</v>
      </c>
      <c r="R339" s="464" t="str">
        <f>IF(ISNA(VLOOKUP(Tabla13[[#This Row],[Código Indra]],#REF!,1,FALSE)),"NO", "SI")</f>
        <v>SI</v>
      </c>
      <c r="S339" s="460" t="str">
        <f>IF(ISNA(VLOOKUP(Tabla13[[#This Row],[Código Indra]],Tabla132[[Código INDRA]:[Nombre]],1,FALSE)),"NO", "SI")</f>
        <v>SI</v>
      </c>
      <c r="T339" s="465"/>
      <c r="U339" s="464" t="s">
        <v>227</v>
      </c>
      <c r="V339" s="464" t="e">
        <f>VLOOKUP(Tabla13[[#This Row],[Apoyo]],'LM SAP'!A:I,9,FALSE)</f>
        <v>#N/A</v>
      </c>
      <c r="W339" s="464" t="s">
        <v>234</v>
      </c>
      <c r="X339" s="466"/>
      <c r="Y339" s="464">
        <f>Tabla13[[#This Row],[ID]]</f>
        <v>328</v>
      </c>
    </row>
    <row r="340" spans="1:25" s="464" customFormat="1" ht="24" x14ac:dyDescent="0.25">
      <c r="A340" s="453">
        <v>329</v>
      </c>
      <c r="B340" s="454" t="s">
        <v>175</v>
      </c>
      <c r="C340" s="469" t="s">
        <v>176</v>
      </c>
      <c r="D340" s="456"/>
      <c r="E340" s="457" t="s">
        <v>2556</v>
      </c>
      <c r="F340" s="458">
        <v>1</v>
      </c>
      <c r="G340" s="459"/>
      <c r="H340" s="460"/>
      <c r="I340" s="460" t="s">
        <v>276</v>
      </c>
      <c r="J340" s="460"/>
      <c r="K340" s="460" t="s">
        <v>1411</v>
      </c>
      <c r="L340" s="460">
        <v>60006148</v>
      </c>
      <c r="M340" s="461">
        <v>45715</v>
      </c>
      <c r="N340" s="461">
        <v>45726</v>
      </c>
      <c r="O340" s="470" t="s">
        <v>2557</v>
      </c>
      <c r="P340" s="463" t="str">
        <f>IF(LEFT(B340,5)="09735",
    IF(ISNA(VLOOKUP(Tabla13[[#This Row],[Apoyo]],'LM SAP'!A:G,1,FALSE)),
        "No Disponible",
        IF(VLOOKUP(Tabla13[[#This Row],[Apoyo]],'LM SAP'!A:AD,9,FALSE)="RR",
            "Disponible",
            "Firmas SAP"
        )
    ),
    "CONSULTAR"
)</f>
        <v>No Disponible</v>
      </c>
      <c r="Q340" s="460" t="str">
        <f>MID(Tabla13[[#This Row],[Código Indra]],1,13)</f>
        <v>0973525410000</v>
      </c>
      <c r="R340" s="464" t="str">
        <f>IF(ISNA(VLOOKUP(Tabla13[[#This Row],[Código Indra]],#REF!,1,FALSE)),"NO", "SI")</f>
        <v>SI</v>
      </c>
      <c r="S340" s="460" t="str">
        <f>IF(ISNA(VLOOKUP(Tabla13[[#This Row],[Código Indra]],Tabla132[[Código INDRA]:[Nombre]],1,FALSE)),"NO", "SI")</f>
        <v>NO</v>
      </c>
      <c r="T340" s="465"/>
      <c r="U340" s="464" t="s">
        <v>227</v>
      </c>
      <c r="V340" s="464" t="e">
        <f>VLOOKUP(Tabla13[[#This Row],[Apoyo]],'LM SAP'!A:I,9,FALSE)</f>
        <v>#N/A</v>
      </c>
      <c r="X340" s="466">
        <v>40</v>
      </c>
      <c r="Y340" s="464">
        <f>Tabla13[[#This Row],[ID]]</f>
        <v>329</v>
      </c>
    </row>
    <row r="341" spans="1:25" s="464" customFormat="1" ht="60" x14ac:dyDescent="0.25">
      <c r="A341" s="453">
        <v>330</v>
      </c>
      <c r="B341" s="454" t="s">
        <v>169</v>
      </c>
      <c r="C341" s="455" t="s">
        <v>170</v>
      </c>
      <c r="D341" s="456" t="s">
        <v>170</v>
      </c>
      <c r="E341" s="457" t="s">
        <v>2558</v>
      </c>
      <c r="F341" s="458">
        <v>1</v>
      </c>
      <c r="G341" s="459"/>
      <c r="H341" s="460" t="s">
        <v>2000</v>
      </c>
      <c r="I341" s="460" t="s">
        <v>251</v>
      </c>
      <c r="J341" s="460" t="s">
        <v>1318</v>
      </c>
      <c r="K341" s="460" t="s">
        <v>220</v>
      </c>
      <c r="L341" s="460">
        <v>60006477</v>
      </c>
      <c r="M341" s="461">
        <v>45742</v>
      </c>
      <c r="N341" s="461">
        <v>45750</v>
      </c>
      <c r="O341" s="470" t="s">
        <v>2559</v>
      </c>
      <c r="P341" s="463" t="str">
        <f>IF(LEFT(B341,5)="09735",
    IF(ISNA(VLOOKUP(Tabla13[[#This Row],[Apoyo]],'LM SAP'!A:G,1,FALSE)),
        "No Disponible",
        IF(VLOOKUP(Tabla13[[#This Row],[Apoyo]],'LM SAP'!A:AD,9,FALSE)="RR",
            "Disponible",
            "Firmas SAP"
        )
    ),
    "CONSULTAR"
)</f>
        <v>No Disponible</v>
      </c>
      <c r="Q341" s="460" t="str">
        <f>MID(Tabla13[[#This Row],[Código Indra]],1,13)</f>
        <v>0973525420000</v>
      </c>
      <c r="R341" s="464" t="str">
        <f>IF(ISNA(VLOOKUP(Tabla13[[#This Row],[Código Indra]],#REF!,1,FALSE)),"NO", "SI")</f>
        <v>SI</v>
      </c>
      <c r="S341" s="460" t="str">
        <f>IF(ISNA(VLOOKUP(Tabla13[[#This Row],[Código Indra]],Tabla132[[Código INDRA]:[Nombre]],1,FALSE)),"NO", "SI")</f>
        <v>SI</v>
      </c>
      <c r="T341" s="465"/>
      <c r="U341" s="464" t="s">
        <v>227</v>
      </c>
      <c r="V341" s="464" t="e">
        <f>VLOOKUP(Tabla13[[#This Row],[Apoyo]],'LM SAP'!A:I,9,FALSE)</f>
        <v>#N/A</v>
      </c>
      <c r="X341" s="466">
        <v>40</v>
      </c>
      <c r="Y341" s="464">
        <f>Tabla13[[#This Row],[ID]]</f>
        <v>330</v>
      </c>
    </row>
    <row r="342" spans="1:25" s="464" customFormat="1" ht="84" x14ac:dyDescent="0.25">
      <c r="A342" s="453">
        <v>331</v>
      </c>
      <c r="B342" s="480" t="s">
        <v>2560</v>
      </c>
      <c r="C342" s="469" t="s">
        <v>2561</v>
      </c>
      <c r="D342" s="456" t="s">
        <v>170</v>
      </c>
      <c r="E342" s="457" t="s">
        <v>2562</v>
      </c>
      <c r="F342" s="458">
        <v>1</v>
      </c>
      <c r="G342" s="459"/>
      <c r="H342" s="460"/>
      <c r="I342" s="460" t="s">
        <v>251</v>
      </c>
      <c r="J342" s="460"/>
      <c r="K342" s="460" t="s">
        <v>220</v>
      </c>
      <c r="L342" s="460">
        <v>60007379</v>
      </c>
      <c r="M342" s="461">
        <v>45869</v>
      </c>
      <c r="N342" s="461"/>
      <c r="O342" s="539" t="s">
        <v>2563</v>
      </c>
      <c r="P342" s="463" t="str">
        <f>IF(LEFT(B342,5)="09735",
    IF(ISNA(VLOOKUP(Tabla13[[#This Row],[Apoyo]],'LM SAP'!A:G,1,FALSE)),
        "No Disponible",
        IF(VLOOKUP(Tabla13[[#This Row],[Apoyo]],'LM SAP'!A:AD,9,FALSE)="RR",
            "Disponible",
            "Firmas SAP"
        )
    ),
    "CONSULTAR"
)</f>
        <v>Disponible</v>
      </c>
      <c r="Q342" s="460" t="str">
        <f>MID(Tabla13[[#This Row],[Código Indra]],1,13)</f>
        <v>0973525420100</v>
      </c>
      <c r="R342" s="464" t="str">
        <f>IF(ISNA(VLOOKUP(Tabla13[[#This Row],[Código Indra]],#REF!,1,FALSE)),"NO", "SI")</f>
        <v>SI</v>
      </c>
      <c r="S342" s="460" t="str">
        <f>IF(ISNA(VLOOKUP(Tabla13[[#This Row],[Código Indra]],Tabla132[[Código INDRA]:[Nombre]],1,FALSE)),"NO", "SI")</f>
        <v>NO</v>
      </c>
      <c r="T342" s="465"/>
      <c r="U342" s="464" t="s">
        <v>256</v>
      </c>
      <c r="V342" s="464" t="str">
        <f>VLOOKUP(Tabla13[[#This Row],[Apoyo]],'LM SAP'!A:I,9,FALSE)</f>
        <v>RR</v>
      </c>
      <c r="X342" s="466"/>
      <c r="Y342" s="464">
        <f>Tabla13[[#This Row],[ID]]</f>
        <v>331</v>
      </c>
    </row>
    <row r="343" spans="1:25" s="464" customFormat="1" ht="24" x14ac:dyDescent="0.25">
      <c r="A343" s="453">
        <v>332</v>
      </c>
      <c r="B343" s="454" t="s">
        <v>186</v>
      </c>
      <c r="C343" s="469" t="s">
        <v>187</v>
      </c>
      <c r="D343" s="469" t="s">
        <v>187</v>
      </c>
      <c r="E343" s="457" t="s">
        <v>2564</v>
      </c>
      <c r="F343" s="458">
        <v>1</v>
      </c>
      <c r="G343" s="459"/>
      <c r="H343" s="460" t="s">
        <v>2000</v>
      </c>
      <c r="I343" s="460" t="s">
        <v>251</v>
      </c>
      <c r="J343" s="460" t="s">
        <v>1318</v>
      </c>
      <c r="K343" s="460" t="s">
        <v>220</v>
      </c>
      <c r="L343" s="460">
        <v>60005582</v>
      </c>
      <c r="M343" s="461">
        <v>45678</v>
      </c>
      <c r="N343" s="461">
        <v>45734</v>
      </c>
      <c r="O343" s="540" t="s">
        <v>2565</v>
      </c>
      <c r="P343" s="463" t="str">
        <f>IF(LEFT(B343,5)="09735",
    IF(ISNA(VLOOKUP(Tabla13[[#This Row],[Apoyo]],'LM SAP'!A:G,1,FALSE)),
        "No Disponible",
        IF(VLOOKUP(Tabla13[[#This Row],[Apoyo]],'LM SAP'!A:AD,9,FALSE)="RR",
            "Disponible",
            "Firmas SAP"
        )
    ),
    "CONSULTAR"
)</f>
        <v>No Disponible</v>
      </c>
      <c r="Q343" s="460" t="str">
        <f>MID(Tabla13[[#This Row],[Código Indra]],1,13)</f>
        <v>0973525480000</v>
      </c>
      <c r="R343" s="464" t="str">
        <f>IF(ISNA(VLOOKUP(Tabla13[[#This Row],[Código Indra]],#REF!,1,FALSE)),"NO", "SI")</f>
        <v>SI</v>
      </c>
      <c r="S343" s="460" t="str">
        <f>IF(ISNA(VLOOKUP(Tabla13[[#This Row],[Código Indra]],Tabla132[[Código INDRA]:[Nombre]],1,FALSE)),"NO", "SI")</f>
        <v>NO</v>
      </c>
      <c r="T343" s="465"/>
      <c r="U343" s="464" t="s">
        <v>227</v>
      </c>
      <c r="V343" s="464" t="e">
        <f>VLOOKUP(Tabla13[[#This Row],[Apoyo]],'LM SAP'!A:I,9,FALSE)</f>
        <v>#N/A</v>
      </c>
      <c r="X343" s="466"/>
      <c r="Y343" s="464">
        <f>Tabla13[[#This Row],[ID]]</f>
        <v>332</v>
      </c>
    </row>
    <row r="344" spans="1:25" s="464" customFormat="1" ht="36" x14ac:dyDescent="0.25">
      <c r="A344" s="453">
        <v>333</v>
      </c>
      <c r="B344" s="454">
        <v>973524000100</v>
      </c>
      <c r="C344" s="455" t="s">
        <v>167</v>
      </c>
      <c r="D344" s="456"/>
      <c r="E344" s="457" t="s">
        <v>583</v>
      </c>
      <c r="F344" s="458">
        <v>1</v>
      </c>
      <c r="G344" s="459"/>
      <c r="H344" s="460"/>
      <c r="I344" s="460" t="s">
        <v>251</v>
      </c>
      <c r="J344" s="460"/>
      <c r="K344" s="460" t="s">
        <v>1411</v>
      </c>
      <c r="L344" s="460">
        <v>60005259</v>
      </c>
      <c r="M344" s="461">
        <v>45631</v>
      </c>
      <c r="N344" s="461">
        <v>45643</v>
      </c>
      <c r="O344" s="470" t="s">
        <v>2566</v>
      </c>
      <c r="P344" s="463" t="str">
        <f>IF(LEFT(B344,5)="09735",
    IF(ISNA(VLOOKUP(Tabla13[[#This Row],[Apoyo]],'LM SAP'!A:G,1,FALSE)),
        "No Disponible",
        IF(VLOOKUP(Tabla13[[#This Row],[Apoyo]],'LM SAP'!A:AD,9,FALSE)="RR",
            "Disponible",
            "Firmas SAP"
        )
    ),
    "CONSULTAR"
)</f>
        <v>CONSULTAR</v>
      </c>
      <c r="Q344" s="460" t="str">
        <f>MID(Tabla13[[#This Row],[Código Indra]],1,13)</f>
        <v>973524000100</v>
      </c>
      <c r="R344" s="464" t="str">
        <f>IF(ISNA(VLOOKUP(Tabla13[[#This Row],[Código Indra]],#REF!,1,FALSE)),"NO", "SI")</f>
        <v>SI</v>
      </c>
      <c r="S344" s="460" t="str">
        <f>IF(ISNA(VLOOKUP(Tabla13[[#This Row],[Código Indra]],Tabla132[[Código INDRA]:[Nombre]],1,FALSE)),"NO", "SI")</f>
        <v>NO</v>
      </c>
      <c r="T344" s="465"/>
      <c r="V344" s="464" t="e">
        <f>VLOOKUP(Tabla13[[#This Row],[Apoyo]],'LM SAP'!A:I,9,FALSE)</f>
        <v>#N/A</v>
      </c>
      <c r="W344" s="464" t="s">
        <v>234</v>
      </c>
      <c r="X344" s="466">
        <v>0</v>
      </c>
      <c r="Y344" s="464">
        <f>Tabla13[[#This Row],[ID]]</f>
        <v>333</v>
      </c>
    </row>
    <row r="345" spans="1:25" s="464" customFormat="1" ht="36" x14ac:dyDescent="0.25">
      <c r="A345" s="453">
        <v>334</v>
      </c>
      <c r="B345" s="454" t="s">
        <v>2567</v>
      </c>
      <c r="C345" s="469" t="s">
        <v>2568</v>
      </c>
      <c r="D345" s="456" t="s">
        <v>167</v>
      </c>
      <c r="E345" s="457" t="s">
        <v>2569</v>
      </c>
      <c r="F345" s="458">
        <v>1</v>
      </c>
      <c r="G345" s="514" t="s">
        <v>166</v>
      </c>
      <c r="H345" s="460"/>
      <c r="I345" s="460" t="s">
        <v>251</v>
      </c>
      <c r="J345" s="460"/>
      <c r="K345" s="460" t="s">
        <v>1533</v>
      </c>
      <c r="L345" s="460">
        <v>60005259</v>
      </c>
      <c r="M345" s="461">
        <v>45631</v>
      </c>
      <c r="N345" s="461">
        <v>45643</v>
      </c>
      <c r="O345" s="516" t="s">
        <v>2211</v>
      </c>
      <c r="P345" s="463" t="str">
        <f>IF(LEFT(B345,5)="09735",
    IF(ISNA(VLOOKUP(Tabla13[[#This Row],[Apoyo]],'LM SAP'!A:G,1,FALSE)),
        "No Disponible",
        IF(VLOOKUP(Tabla13[[#This Row],[Apoyo]],'LM SAP'!A:AD,9,FALSE)="RR",
            "Disponible",
            "Firmas SAP"
        )
    ),
    "CONSULTAR"
)</f>
        <v>No Disponible</v>
      </c>
      <c r="Q345" s="460" t="str">
        <f>MID(Tabla13[[#This Row],[Código Indra]],1,13)</f>
        <v>0973544000101</v>
      </c>
      <c r="R345" s="464" t="str">
        <f>IF(ISNA(VLOOKUP(Tabla13[[#This Row],[Código Indra]],#REF!,1,FALSE)),"NO", "SI")</f>
        <v>SI</v>
      </c>
      <c r="S345" s="460" t="str">
        <f>IF(ISNA(VLOOKUP(Tabla13[[#This Row],[Código Indra]],Tabla132[[Código INDRA]:[Nombre]],1,FALSE)),"NO", "SI")</f>
        <v>NO</v>
      </c>
      <c r="T345" s="465"/>
      <c r="U345" s="464" t="s">
        <v>256</v>
      </c>
      <c r="V345" s="464" t="e">
        <f>VLOOKUP(Tabla13[[#This Row],[Apoyo]],'LM SAP'!A:I,9,FALSE)</f>
        <v>#N/A</v>
      </c>
      <c r="X345" s="466">
        <v>0</v>
      </c>
      <c r="Y345" s="464">
        <f>Tabla13[[#This Row],[ID]]</f>
        <v>334</v>
      </c>
    </row>
    <row r="346" spans="1:25" s="464" customFormat="1" ht="36" x14ac:dyDescent="0.25">
      <c r="A346" s="453">
        <v>335</v>
      </c>
      <c r="B346" s="454" t="s">
        <v>1396</v>
      </c>
      <c r="C346" s="469" t="s">
        <v>2570</v>
      </c>
      <c r="D346" s="456" t="s">
        <v>167</v>
      </c>
      <c r="E346" s="457" t="s">
        <v>1398</v>
      </c>
      <c r="F346" s="458">
        <v>1</v>
      </c>
      <c r="G346" s="514" t="s">
        <v>166</v>
      </c>
      <c r="H346" s="460"/>
      <c r="I346" s="460" t="s">
        <v>251</v>
      </c>
      <c r="J346" s="460"/>
      <c r="K346" s="460" t="s">
        <v>1533</v>
      </c>
      <c r="L346" s="460">
        <v>60005259</v>
      </c>
      <c r="M346" s="461">
        <v>45631</v>
      </c>
      <c r="N346" s="461">
        <v>45643</v>
      </c>
      <c r="O346" s="516" t="s">
        <v>2211</v>
      </c>
      <c r="P346" s="463" t="str">
        <f>IF(LEFT(B346,5)="09735",
    IF(ISNA(VLOOKUP(Tabla13[[#This Row],[Apoyo]],'LM SAP'!A:G,1,FALSE)),
        "No Disponible",
        IF(VLOOKUP(Tabla13[[#This Row],[Apoyo]],'LM SAP'!A:AD,9,FALSE)="RR",
            "Disponible",
            "Firmas SAP"
        )
    ),
    "CONSULTAR"
)</f>
        <v>No Disponible</v>
      </c>
      <c r="Q346" s="460" t="str">
        <f>MID(Tabla13[[#This Row],[Código Indra]],1,13)</f>
        <v>0973544000102</v>
      </c>
      <c r="R346" s="464" t="str">
        <f>IF(ISNA(VLOOKUP(Tabla13[[#This Row],[Código Indra]],#REF!,1,FALSE)),"NO", "SI")</f>
        <v>SI</v>
      </c>
      <c r="S346" s="460" t="str">
        <f>IF(ISNA(VLOOKUP(Tabla13[[#This Row],[Código Indra]],Tabla132[[Código INDRA]:[Nombre]],1,FALSE)),"NO", "SI")</f>
        <v>NO</v>
      </c>
      <c r="T346" s="465"/>
      <c r="U346" s="464" t="s">
        <v>256</v>
      </c>
      <c r="V346" s="464" t="e">
        <f>VLOOKUP(Tabla13[[#This Row],[Apoyo]],'LM SAP'!A:I,9,FALSE)</f>
        <v>#N/A</v>
      </c>
      <c r="W346" s="464" t="s">
        <v>234</v>
      </c>
      <c r="X346" s="466">
        <v>0</v>
      </c>
      <c r="Y346" s="464">
        <f>Tabla13[[#This Row],[ID]]</f>
        <v>335</v>
      </c>
    </row>
    <row r="347" spans="1:25" s="464" customFormat="1" ht="36" x14ac:dyDescent="0.25">
      <c r="A347" s="453">
        <v>336</v>
      </c>
      <c r="B347" s="454" t="s">
        <v>2571</v>
      </c>
      <c r="C347" s="469" t="s">
        <v>2572</v>
      </c>
      <c r="D347" s="456" t="s">
        <v>167</v>
      </c>
      <c r="E347" s="457" t="s">
        <v>2573</v>
      </c>
      <c r="F347" s="458">
        <v>1</v>
      </c>
      <c r="G347" s="514" t="s">
        <v>166</v>
      </c>
      <c r="H347" s="460"/>
      <c r="I347" s="460" t="s">
        <v>251</v>
      </c>
      <c r="J347" s="460"/>
      <c r="K347" s="460" t="s">
        <v>1533</v>
      </c>
      <c r="L347" s="460">
        <v>60005259</v>
      </c>
      <c r="M347" s="461">
        <v>45631</v>
      </c>
      <c r="N347" s="461">
        <v>45643</v>
      </c>
      <c r="O347" s="516" t="s">
        <v>2211</v>
      </c>
      <c r="P347" s="463" t="str">
        <f>IF(LEFT(B347,5)="09735",
    IF(ISNA(VLOOKUP(Tabla13[[#This Row],[Apoyo]],'LM SAP'!A:G,1,FALSE)),
        "No Disponible",
        IF(VLOOKUP(Tabla13[[#This Row],[Apoyo]],'LM SAP'!A:AD,9,FALSE)="RR",
            "Disponible",
            "Firmas SAP"
        )
    ),
    "CONSULTAR"
)</f>
        <v>No Disponible</v>
      </c>
      <c r="Q347" s="460" t="str">
        <f>MID(Tabla13[[#This Row],[Código Indra]],1,13)</f>
        <v>0973544000103</v>
      </c>
      <c r="R347" s="464" t="str">
        <f>IF(ISNA(VLOOKUP(Tabla13[[#This Row],[Código Indra]],#REF!,1,FALSE)),"NO", "SI")</f>
        <v>SI</v>
      </c>
      <c r="S347" s="460" t="str">
        <f>IF(ISNA(VLOOKUP(Tabla13[[#This Row],[Código Indra]],Tabla132[[Código INDRA]:[Nombre]],1,FALSE)),"NO", "SI")</f>
        <v>NO</v>
      </c>
      <c r="T347" s="465"/>
      <c r="U347" s="464" t="s">
        <v>256</v>
      </c>
      <c r="V347" s="464" t="e">
        <f>VLOOKUP(Tabla13[[#This Row],[Apoyo]],'LM SAP'!A:I,9,FALSE)</f>
        <v>#N/A</v>
      </c>
      <c r="X347" s="466">
        <v>0</v>
      </c>
      <c r="Y347" s="464">
        <f>Tabla13[[#This Row],[ID]]</f>
        <v>336</v>
      </c>
    </row>
    <row r="348" spans="1:25" s="464" customFormat="1" ht="36" x14ac:dyDescent="0.25">
      <c r="A348" s="453">
        <v>337</v>
      </c>
      <c r="B348" s="454" t="s">
        <v>2574</v>
      </c>
      <c r="C348" s="469" t="s">
        <v>2575</v>
      </c>
      <c r="D348" s="456" t="s">
        <v>167</v>
      </c>
      <c r="E348" s="457" t="s">
        <v>2576</v>
      </c>
      <c r="F348" s="458">
        <v>1</v>
      </c>
      <c r="G348" s="514" t="s">
        <v>166</v>
      </c>
      <c r="H348" s="460"/>
      <c r="I348" s="460" t="s">
        <v>251</v>
      </c>
      <c r="J348" s="460"/>
      <c r="K348" s="460" t="s">
        <v>1533</v>
      </c>
      <c r="L348" s="460">
        <v>60005259</v>
      </c>
      <c r="M348" s="461">
        <v>45631</v>
      </c>
      <c r="N348" s="461">
        <v>45643</v>
      </c>
      <c r="O348" s="516" t="s">
        <v>2211</v>
      </c>
      <c r="P348" s="463" t="str">
        <f>IF(LEFT(B348,5)="09735",
    IF(ISNA(VLOOKUP(Tabla13[[#This Row],[Apoyo]],'LM SAP'!A:G,1,FALSE)),
        "No Disponible",
        IF(VLOOKUP(Tabla13[[#This Row],[Apoyo]],'LM SAP'!A:AD,9,FALSE)="RR",
            "Disponible",
            "Firmas SAP"
        )
    ),
    "CONSULTAR"
)</f>
        <v>No Disponible</v>
      </c>
      <c r="Q348" s="460" t="str">
        <f>MID(Tabla13[[#This Row],[Código Indra]],1,13)</f>
        <v>0973544000104</v>
      </c>
      <c r="R348" s="464" t="str">
        <f>IF(ISNA(VLOOKUP(Tabla13[[#This Row],[Código Indra]],#REF!,1,FALSE)),"NO", "SI")</f>
        <v>SI</v>
      </c>
      <c r="S348" s="460" t="str">
        <f>IF(ISNA(VLOOKUP(Tabla13[[#This Row],[Código Indra]],Tabla132[[Código INDRA]:[Nombre]],1,FALSE)),"NO", "SI")</f>
        <v>NO</v>
      </c>
      <c r="T348" s="465"/>
      <c r="U348" s="464" t="s">
        <v>256</v>
      </c>
      <c r="V348" s="464" t="e">
        <f>VLOOKUP(Tabla13[[#This Row],[Apoyo]],'LM SAP'!A:I,9,FALSE)</f>
        <v>#N/A</v>
      </c>
      <c r="X348" s="466">
        <v>0</v>
      </c>
      <c r="Y348" s="464">
        <f>Tabla13[[#This Row],[ID]]</f>
        <v>337</v>
      </c>
    </row>
    <row r="349" spans="1:25" s="464" customFormat="1" ht="36" x14ac:dyDescent="0.25">
      <c r="A349" s="453">
        <v>338</v>
      </c>
      <c r="B349" s="454" t="s">
        <v>2577</v>
      </c>
      <c r="C349" s="469" t="s">
        <v>2578</v>
      </c>
      <c r="D349" s="456" t="s">
        <v>167</v>
      </c>
      <c r="E349" s="457" t="s">
        <v>2579</v>
      </c>
      <c r="F349" s="458">
        <v>1</v>
      </c>
      <c r="G349" s="514" t="s">
        <v>166</v>
      </c>
      <c r="H349" s="460"/>
      <c r="I349" s="460" t="s">
        <v>251</v>
      </c>
      <c r="J349" s="460"/>
      <c r="K349" s="460" t="s">
        <v>1533</v>
      </c>
      <c r="L349" s="460">
        <v>60005259</v>
      </c>
      <c r="M349" s="461">
        <v>45631</v>
      </c>
      <c r="N349" s="461">
        <v>45643</v>
      </c>
      <c r="O349" s="516" t="s">
        <v>2211</v>
      </c>
      <c r="P349" s="463" t="str">
        <f>IF(LEFT(B349,5)="09735",
    IF(ISNA(VLOOKUP(Tabla13[[#This Row],[Apoyo]],'LM SAP'!A:G,1,FALSE)),
        "No Disponible",
        IF(VLOOKUP(Tabla13[[#This Row],[Apoyo]],'LM SAP'!A:AD,9,FALSE)="RR",
            "Disponible",
            "Firmas SAP"
        )
    ),
    "CONSULTAR"
)</f>
        <v>No Disponible</v>
      </c>
      <c r="Q349" s="460" t="str">
        <f>MID(Tabla13[[#This Row],[Código Indra]],1,13)</f>
        <v>0973544000105</v>
      </c>
      <c r="R349" s="464" t="str">
        <f>IF(ISNA(VLOOKUP(Tabla13[[#This Row],[Código Indra]],#REF!,1,FALSE)),"NO", "SI")</f>
        <v>SI</v>
      </c>
      <c r="S349" s="460" t="str">
        <f>IF(ISNA(VLOOKUP(Tabla13[[#This Row],[Código Indra]],Tabla132[[Código INDRA]:[Nombre]],1,FALSE)),"NO", "SI")</f>
        <v>NO</v>
      </c>
      <c r="T349" s="465"/>
      <c r="U349" s="464" t="s">
        <v>256</v>
      </c>
      <c r="V349" s="464" t="e">
        <f>VLOOKUP(Tabla13[[#This Row],[Apoyo]],'LM SAP'!A:I,9,FALSE)</f>
        <v>#N/A</v>
      </c>
      <c r="X349" s="466">
        <v>0</v>
      </c>
      <c r="Y349" s="464">
        <f>Tabla13[[#This Row],[ID]]</f>
        <v>338</v>
      </c>
    </row>
    <row r="350" spans="1:25" s="464" customFormat="1" ht="36" x14ac:dyDescent="0.25">
      <c r="A350" s="453">
        <v>339</v>
      </c>
      <c r="B350" s="454" t="s">
        <v>2580</v>
      </c>
      <c r="C350" s="469" t="s">
        <v>2581</v>
      </c>
      <c r="D350" s="456" t="s">
        <v>167</v>
      </c>
      <c r="E350" s="457" t="s">
        <v>2582</v>
      </c>
      <c r="F350" s="458">
        <v>1</v>
      </c>
      <c r="G350" s="514" t="s">
        <v>166</v>
      </c>
      <c r="H350" s="460"/>
      <c r="I350" s="460" t="s">
        <v>251</v>
      </c>
      <c r="J350" s="460"/>
      <c r="K350" s="460" t="s">
        <v>1533</v>
      </c>
      <c r="L350" s="460">
        <v>60005259</v>
      </c>
      <c r="M350" s="461">
        <v>45631</v>
      </c>
      <c r="N350" s="461">
        <v>45643</v>
      </c>
      <c r="O350" s="516" t="s">
        <v>2211</v>
      </c>
      <c r="P350" s="463" t="str">
        <f>IF(LEFT(B350,5)="09735",
    IF(ISNA(VLOOKUP(Tabla13[[#This Row],[Apoyo]],'LM SAP'!A:G,1,FALSE)),
        "No Disponible",
        IF(VLOOKUP(Tabla13[[#This Row],[Apoyo]],'LM SAP'!A:AD,9,FALSE)="RR",
            "Disponible",
            "Firmas SAP"
        )
    ),
    "CONSULTAR"
)</f>
        <v>No Disponible</v>
      </c>
      <c r="Q350" s="460" t="str">
        <f>MID(Tabla13[[#This Row],[Código Indra]],1,13)</f>
        <v>0973544000106</v>
      </c>
      <c r="R350" s="464" t="str">
        <f>IF(ISNA(VLOOKUP(Tabla13[[#This Row],[Código Indra]],#REF!,1,FALSE)),"NO", "SI")</f>
        <v>SI</v>
      </c>
      <c r="S350" s="460" t="str">
        <f>IF(ISNA(VLOOKUP(Tabla13[[#This Row],[Código Indra]],Tabla132[[Código INDRA]:[Nombre]],1,FALSE)),"NO", "SI")</f>
        <v>NO</v>
      </c>
      <c r="T350" s="465"/>
      <c r="U350" s="464" t="s">
        <v>256</v>
      </c>
      <c r="V350" s="464" t="e">
        <f>VLOOKUP(Tabla13[[#This Row],[Apoyo]],'LM SAP'!A:I,9,FALSE)</f>
        <v>#N/A</v>
      </c>
      <c r="X350" s="466">
        <v>0</v>
      </c>
      <c r="Y350" s="464">
        <f>Tabla13[[#This Row],[ID]]</f>
        <v>339</v>
      </c>
    </row>
    <row r="351" spans="1:25" s="464" customFormat="1" ht="36" x14ac:dyDescent="0.25">
      <c r="A351" s="453">
        <v>340</v>
      </c>
      <c r="B351" s="454" t="s">
        <v>2583</v>
      </c>
      <c r="C351" s="469" t="s">
        <v>2584</v>
      </c>
      <c r="D351" s="456" t="s">
        <v>167</v>
      </c>
      <c r="E351" s="457" t="s">
        <v>2585</v>
      </c>
      <c r="F351" s="458">
        <v>1</v>
      </c>
      <c r="G351" s="514" t="s">
        <v>166</v>
      </c>
      <c r="H351" s="460"/>
      <c r="I351" s="460" t="s">
        <v>251</v>
      </c>
      <c r="J351" s="460"/>
      <c r="K351" s="460" t="s">
        <v>1533</v>
      </c>
      <c r="L351" s="460">
        <v>60005259</v>
      </c>
      <c r="M351" s="461">
        <v>45631</v>
      </c>
      <c r="N351" s="461">
        <v>45643</v>
      </c>
      <c r="O351" s="516" t="s">
        <v>2211</v>
      </c>
      <c r="P351" s="463" t="str">
        <f>IF(LEFT(B351,5)="09735",
    IF(ISNA(VLOOKUP(Tabla13[[#This Row],[Apoyo]],'LM SAP'!A:G,1,FALSE)),
        "No Disponible",
        IF(VLOOKUP(Tabla13[[#This Row],[Apoyo]],'LM SAP'!A:AD,9,FALSE)="RR",
            "Disponible",
            "Firmas SAP"
        )
    ),
    "CONSULTAR"
)</f>
        <v>No Disponible</v>
      </c>
      <c r="Q351" s="460" t="str">
        <f>MID(Tabla13[[#This Row],[Código Indra]],1,13)</f>
        <v>0973544000114</v>
      </c>
      <c r="R351" s="464" t="str">
        <f>IF(ISNA(VLOOKUP(Tabla13[[#This Row],[Código Indra]],#REF!,1,FALSE)),"NO", "SI")</f>
        <v>SI</v>
      </c>
      <c r="S351" s="460" t="str">
        <f>IF(ISNA(VLOOKUP(Tabla13[[#This Row],[Código Indra]],Tabla132[[Código INDRA]:[Nombre]],1,FALSE)),"NO", "SI")</f>
        <v>NO</v>
      </c>
      <c r="T351" s="465"/>
      <c r="U351" s="464" t="s">
        <v>256</v>
      </c>
      <c r="V351" s="464" t="e">
        <f>VLOOKUP(Tabla13[[#This Row],[Apoyo]],'LM SAP'!A:I,9,FALSE)</f>
        <v>#N/A</v>
      </c>
      <c r="X351" s="466">
        <v>0</v>
      </c>
      <c r="Y351" s="464">
        <f>Tabla13[[#This Row],[ID]]</f>
        <v>340</v>
      </c>
    </row>
    <row r="352" spans="1:25" s="464" customFormat="1" ht="36" x14ac:dyDescent="0.25">
      <c r="A352" s="453">
        <v>341</v>
      </c>
      <c r="B352" s="454" t="s">
        <v>2586</v>
      </c>
      <c r="C352" s="469" t="s">
        <v>2587</v>
      </c>
      <c r="D352" s="456" t="s">
        <v>167</v>
      </c>
      <c r="E352" s="457" t="s">
        <v>2588</v>
      </c>
      <c r="F352" s="458">
        <v>1</v>
      </c>
      <c r="G352" s="514" t="s">
        <v>166</v>
      </c>
      <c r="H352" s="460"/>
      <c r="I352" s="460" t="s">
        <v>251</v>
      </c>
      <c r="J352" s="460"/>
      <c r="K352" s="460" t="s">
        <v>1533</v>
      </c>
      <c r="L352" s="460">
        <v>60005259</v>
      </c>
      <c r="M352" s="461">
        <v>45631</v>
      </c>
      <c r="N352" s="461">
        <v>45643</v>
      </c>
      <c r="O352" s="516" t="s">
        <v>2211</v>
      </c>
      <c r="P352" s="463" t="str">
        <f>IF(LEFT(B352,5)="09735",
    IF(ISNA(VLOOKUP(Tabla13[[#This Row],[Apoyo]],'LM SAP'!A:G,1,FALSE)),
        "No Disponible",
        IF(VLOOKUP(Tabla13[[#This Row],[Apoyo]],'LM SAP'!A:AD,9,FALSE)="RR",
            "Disponible",
            "Firmas SAP"
        )
    ),
    "CONSULTAR"
)</f>
        <v>No Disponible</v>
      </c>
      <c r="Q352" s="460" t="str">
        <f>MID(Tabla13[[#This Row],[Código Indra]],1,13)</f>
        <v>0973544000115</v>
      </c>
      <c r="R352" s="464" t="str">
        <f>IF(ISNA(VLOOKUP(Tabla13[[#This Row],[Código Indra]],#REF!,1,FALSE)),"NO", "SI")</f>
        <v>SI</v>
      </c>
      <c r="S352" s="460" t="str">
        <f>IF(ISNA(VLOOKUP(Tabla13[[#This Row],[Código Indra]],Tabla132[[Código INDRA]:[Nombre]],1,FALSE)),"NO", "SI")</f>
        <v>NO</v>
      </c>
      <c r="T352" s="465"/>
      <c r="U352" s="464" t="s">
        <v>256</v>
      </c>
      <c r="V352" s="464" t="e">
        <f>VLOOKUP(Tabla13[[#This Row],[Apoyo]],'LM SAP'!A:I,9,FALSE)</f>
        <v>#N/A</v>
      </c>
      <c r="X352" s="466">
        <v>0</v>
      </c>
      <c r="Y352" s="464">
        <f>Tabla13[[#This Row],[ID]]</f>
        <v>341</v>
      </c>
    </row>
    <row r="353" spans="1:25" s="464" customFormat="1" ht="36" x14ac:dyDescent="0.25">
      <c r="A353" s="453">
        <v>342</v>
      </c>
      <c r="B353" s="454" t="s">
        <v>2589</v>
      </c>
      <c r="C353" s="469" t="s">
        <v>2590</v>
      </c>
      <c r="D353" s="456" t="s">
        <v>167</v>
      </c>
      <c r="E353" s="457" t="s">
        <v>2591</v>
      </c>
      <c r="F353" s="458">
        <v>1</v>
      </c>
      <c r="G353" s="514" t="s">
        <v>166</v>
      </c>
      <c r="H353" s="460"/>
      <c r="I353" s="460" t="s">
        <v>251</v>
      </c>
      <c r="J353" s="460"/>
      <c r="K353" s="460" t="s">
        <v>1533</v>
      </c>
      <c r="L353" s="460">
        <v>60005259</v>
      </c>
      <c r="M353" s="461">
        <v>45631</v>
      </c>
      <c r="N353" s="461">
        <v>45643</v>
      </c>
      <c r="O353" s="516" t="s">
        <v>2211</v>
      </c>
      <c r="P353" s="463" t="str">
        <f>IF(LEFT(B353,5)="09735",
    IF(ISNA(VLOOKUP(Tabla13[[#This Row],[Apoyo]],'LM SAP'!A:G,1,FALSE)),
        "No Disponible",
        IF(VLOOKUP(Tabla13[[#This Row],[Apoyo]],'LM SAP'!A:AD,9,FALSE)="RR",
            "Disponible",
            "Firmas SAP"
        )
    ),
    "CONSULTAR"
)</f>
        <v>No Disponible</v>
      </c>
      <c r="Q353" s="460" t="str">
        <f>MID(Tabla13[[#This Row],[Código Indra]],1,13)</f>
        <v>0973544000116</v>
      </c>
      <c r="R353" s="464" t="str">
        <f>IF(ISNA(VLOOKUP(Tabla13[[#This Row],[Código Indra]],#REF!,1,FALSE)),"NO", "SI")</f>
        <v>SI</v>
      </c>
      <c r="S353" s="460" t="str">
        <f>IF(ISNA(VLOOKUP(Tabla13[[#This Row],[Código Indra]],Tabla132[[Código INDRA]:[Nombre]],1,FALSE)),"NO", "SI")</f>
        <v>NO</v>
      </c>
      <c r="T353" s="465"/>
      <c r="U353" s="464" t="s">
        <v>256</v>
      </c>
      <c r="V353" s="464" t="e">
        <f>VLOOKUP(Tabla13[[#This Row],[Apoyo]],'LM SAP'!A:I,9,FALSE)</f>
        <v>#N/A</v>
      </c>
      <c r="X353" s="466">
        <v>0</v>
      </c>
      <c r="Y353" s="464">
        <f>Tabla13[[#This Row],[ID]]</f>
        <v>342</v>
      </c>
    </row>
    <row r="354" spans="1:25" s="464" customFormat="1" ht="36" x14ac:dyDescent="0.25">
      <c r="A354" s="453">
        <v>343</v>
      </c>
      <c r="B354" s="454" t="s">
        <v>2592</v>
      </c>
      <c r="C354" s="469" t="s">
        <v>2593</v>
      </c>
      <c r="D354" s="456" t="s">
        <v>167</v>
      </c>
      <c r="E354" s="457" t="s">
        <v>2594</v>
      </c>
      <c r="F354" s="458">
        <v>1</v>
      </c>
      <c r="G354" s="514" t="s">
        <v>166</v>
      </c>
      <c r="H354" s="460"/>
      <c r="I354" s="460" t="s">
        <v>251</v>
      </c>
      <c r="J354" s="460"/>
      <c r="K354" s="460" t="s">
        <v>1533</v>
      </c>
      <c r="L354" s="460">
        <v>60005259</v>
      </c>
      <c r="M354" s="461">
        <v>45631</v>
      </c>
      <c r="N354" s="461">
        <v>45643</v>
      </c>
      <c r="O354" s="516" t="s">
        <v>2211</v>
      </c>
      <c r="P354" s="463" t="str">
        <f>IF(LEFT(B354,5)="09735",
    IF(ISNA(VLOOKUP(Tabla13[[#This Row],[Apoyo]],'LM SAP'!A:G,1,FALSE)),
        "No Disponible",
        IF(VLOOKUP(Tabla13[[#This Row],[Apoyo]],'LM SAP'!A:AD,9,FALSE)="RR",
            "Disponible",
            "Firmas SAP"
        )
    ),
    "CONSULTAR"
)</f>
        <v>No Disponible</v>
      </c>
      <c r="Q354" s="460" t="str">
        <f>MID(Tabla13[[#This Row],[Código Indra]],1,13)</f>
        <v>0973544000117</v>
      </c>
      <c r="R354" s="464" t="str">
        <f>IF(ISNA(VLOOKUP(Tabla13[[#This Row],[Código Indra]],#REF!,1,FALSE)),"NO", "SI")</f>
        <v>SI</v>
      </c>
      <c r="S354" s="460" t="str">
        <f>IF(ISNA(VLOOKUP(Tabla13[[#This Row],[Código Indra]],Tabla132[[Código INDRA]:[Nombre]],1,FALSE)),"NO", "SI")</f>
        <v>NO</v>
      </c>
      <c r="T354" s="465"/>
      <c r="U354" s="464" t="s">
        <v>256</v>
      </c>
      <c r="V354" s="464" t="e">
        <f>VLOOKUP(Tabla13[[#This Row],[Apoyo]],'LM SAP'!A:I,9,FALSE)</f>
        <v>#N/A</v>
      </c>
      <c r="X354" s="466">
        <v>0</v>
      </c>
      <c r="Y354" s="464">
        <f>Tabla13[[#This Row],[ID]]</f>
        <v>343</v>
      </c>
    </row>
    <row r="355" spans="1:25" s="464" customFormat="1" ht="36" x14ac:dyDescent="0.25">
      <c r="A355" s="453">
        <v>344</v>
      </c>
      <c r="B355" s="454" t="s">
        <v>2595</v>
      </c>
      <c r="C355" s="469" t="s">
        <v>2596</v>
      </c>
      <c r="D355" s="456" t="s">
        <v>167</v>
      </c>
      <c r="E355" s="457" t="s">
        <v>2597</v>
      </c>
      <c r="F355" s="458">
        <v>1</v>
      </c>
      <c r="G355" s="514" t="s">
        <v>166</v>
      </c>
      <c r="H355" s="460"/>
      <c r="I355" s="460" t="s">
        <v>251</v>
      </c>
      <c r="J355" s="460"/>
      <c r="K355" s="460" t="s">
        <v>1533</v>
      </c>
      <c r="L355" s="460">
        <v>60005259</v>
      </c>
      <c r="M355" s="461">
        <v>45631</v>
      </c>
      <c r="N355" s="461">
        <v>45643</v>
      </c>
      <c r="O355" s="516" t="s">
        <v>2211</v>
      </c>
      <c r="P355" s="463" t="str">
        <f>IF(LEFT(B355,5)="09735",
    IF(ISNA(VLOOKUP(Tabla13[[#This Row],[Apoyo]],'LM SAP'!A:G,1,FALSE)),
        "No Disponible",
        IF(VLOOKUP(Tabla13[[#This Row],[Apoyo]],'LM SAP'!A:AD,9,FALSE)="RR",
            "Disponible",
            "Firmas SAP"
        )
    ),
    "CONSULTAR"
)</f>
        <v>No Disponible</v>
      </c>
      <c r="Q355" s="460" t="str">
        <f>MID(Tabla13[[#This Row],[Código Indra]],1,13)</f>
        <v>0973544000118</v>
      </c>
      <c r="R355" s="464" t="str">
        <f>IF(ISNA(VLOOKUP(Tabla13[[#This Row],[Código Indra]],#REF!,1,FALSE)),"NO", "SI")</f>
        <v>SI</v>
      </c>
      <c r="S355" s="460" t="str">
        <f>IF(ISNA(VLOOKUP(Tabla13[[#This Row],[Código Indra]],Tabla132[[Código INDRA]:[Nombre]],1,FALSE)),"NO", "SI")</f>
        <v>NO</v>
      </c>
      <c r="T355" s="465"/>
      <c r="U355" s="464" t="s">
        <v>256</v>
      </c>
      <c r="V355" s="464" t="e">
        <f>VLOOKUP(Tabla13[[#This Row],[Apoyo]],'LM SAP'!A:I,9,FALSE)</f>
        <v>#N/A</v>
      </c>
      <c r="X355" s="466">
        <v>0</v>
      </c>
      <c r="Y355" s="464">
        <f>Tabla13[[#This Row],[ID]]</f>
        <v>344</v>
      </c>
    </row>
    <row r="356" spans="1:25" s="464" customFormat="1" ht="36" x14ac:dyDescent="0.25">
      <c r="A356" s="453">
        <v>345</v>
      </c>
      <c r="B356" s="454" t="s">
        <v>2598</v>
      </c>
      <c r="C356" s="469" t="s">
        <v>2599</v>
      </c>
      <c r="D356" s="456" t="s">
        <v>167</v>
      </c>
      <c r="E356" s="457" t="s">
        <v>2600</v>
      </c>
      <c r="F356" s="458">
        <v>1</v>
      </c>
      <c r="G356" s="514" t="s">
        <v>166</v>
      </c>
      <c r="H356" s="460"/>
      <c r="I356" s="460" t="s">
        <v>251</v>
      </c>
      <c r="J356" s="460"/>
      <c r="K356" s="460" t="s">
        <v>1533</v>
      </c>
      <c r="L356" s="460">
        <v>60005259</v>
      </c>
      <c r="M356" s="461">
        <v>45631</v>
      </c>
      <c r="N356" s="461">
        <v>45643</v>
      </c>
      <c r="O356" s="516" t="s">
        <v>2211</v>
      </c>
      <c r="P356" s="463" t="str">
        <f>IF(LEFT(B356,5)="09735",
    IF(ISNA(VLOOKUP(Tabla13[[#This Row],[Apoyo]],'LM SAP'!A:G,1,FALSE)),
        "No Disponible",
        IF(VLOOKUP(Tabla13[[#This Row],[Apoyo]],'LM SAP'!A:AD,9,FALSE)="RR",
            "Disponible",
            "Firmas SAP"
        )
    ),
    "CONSULTAR"
)</f>
        <v>No Disponible</v>
      </c>
      <c r="Q356" s="460" t="str">
        <f>MID(Tabla13[[#This Row],[Código Indra]],1,13)</f>
        <v>0973544000119</v>
      </c>
      <c r="R356" s="464" t="str">
        <f>IF(ISNA(VLOOKUP(Tabla13[[#This Row],[Código Indra]],#REF!,1,FALSE)),"NO", "SI")</f>
        <v>SI</v>
      </c>
      <c r="S356" s="460" t="str">
        <f>IF(ISNA(VLOOKUP(Tabla13[[#This Row],[Código Indra]],Tabla132[[Código INDRA]:[Nombre]],1,FALSE)),"NO", "SI")</f>
        <v>NO</v>
      </c>
      <c r="T356" s="465"/>
      <c r="U356" s="464" t="s">
        <v>256</v>
      </c>
      <c r="V356" s="464" t="e">
        <f>VLOOKUP(Tabla13[[#This Row],[Apoyo]],'LM SAP'!A:I,9,FALSE)</f>
        <v>#N/A</v>
      </c>
      <c r="X356" s="466">
        <v>0</v>
      </c>
      <c r="Y356" s="464">
        <f>Tabla13[[#This Row],[ID]]</f>
        <v>345</v>
      </c>
    </row>
    <row r="357" spans="1:25" s="464" customFormat="1" ht="36" x14ac:dyDescent="0.25">
      <c r="A357" s="453">
        <v>346</v>
      </c>
      <c r="B357" s="454" t="s">
        <v>1399</v>
      </c>
      <c r="C357" s="469" t="s">
        <v>2601</v>
      </c>
      <c r="D357" s="456" t="s">
        <v>167</v>
      </c>
      <c r="E357" s="457" t="s">
        <v>1401</v>
      </c>
      <c r="F357" s="458">
        <v>1</v>
      </c>
      <c r="G357" s="514" t="s">
        <v>166</v>
      </c>
      <c r="H357" s="460"/>
      <c r="I357" s="460" t="s">
        <v>251</v>
      </c>
      <c r="J357" s="460"/>
      <c r="K357" s="460" t="s">
        <v>1533</v>
      </c>
      <c r="L357" s="460">
        <v>60005259</v>
      </c>
      <c r="M357" s="461">
        <v>45631</v>
      </c>
      <c r="N357" s="461">
        <v>45643</v>
      </c>
      <c r="O357" s="516" t="s">
        <v>2211</v>
      </c>
      <c r="P357" s="463" t="str">
        <f>IF(LEFT(B357,5)="09735",
    IF(ISNA(VLOOKUP(Tabla13[[#This Row],[Apoyo]],'LM SAP'!A:G,1,FALSE)),
        "No Disponible",
        IF(VLOOKUP(Tabla13[[#This Row],[Apoyo]],'LM SAP'!A:AD,9,FALSE)="RR",
            "Disponible",
            "Firmas SAP"
        )
    ),
    "CONSULTAR"
)</f>
        <v>No Disponible</v>
      </c>
      <c r="Q357" s="460" t="str">
        <f>MID(Tabla13[[#This Row],[Código Indra]],1,13)</f>
        <v>0973544000120</v>
      </c>
      <c r="R357" s="464" t="str">
        <f>IF(ISNA(VLOOKUP(Tabla13[[#This Row],[Código Indra]],#REF!,1,FALSE)),"NO", "SI")</f>
        <v>SI</v>
      </c>
      <c r="S357" s="460" t="str">
        <f>IF(ISNA(VLOOKUP(Tabla13[[#This Row],[Código Indra]],Tabla132[[Código INDRA]:[Nombre]],1,FALSE)),"NO", "SI")</f>
        <v>NO</v>
      </c>
      <c r="T357" s="465"/>
      <c r="U357" s="464" t="s">
        <v>256</v>
      </c>
      <c r="V357" s="464" t="e">
        <f>VLOOKUP(Tabla13[[#This Row],[Apoyo]],'LM SAP'!A:I,9,FALSE)</f>
        <v>#N/A</v>
      </c>
      <c r="W357" s="464" t="s">
        <v>234</v>
      </c>
      <c r="X357" s="466">
        <v>0</v>
      </c>
      <c r="Y357" s="464">
        <f>Tabla13[[#This Row],[ID]]</f>
        <v>346</v>
      </c>
    </row>
    <row r="358" spans="1:25" s="464" customFormat="1" ht="36" x14ac:dyDescent="0.25">
      <c r="A358" s="453">
        <v>347</v>
      </c>
      <c r="B358" s="454" t="s">
        <v>2602</v>
      </c>
      <c r="C358" s="469" t="s">
        <v>2603</v>
      </c>
      <c r="D358" s="456" t="s">
        <v>167</v>
      </c>
      <c r="E358" s="457" t="s">
        <v>2604</v>
      </c>
      <c r="F358" s="458">
        <v>1</v>
      </c>
      <c r="G358" s="514" t="s">
        <v>166</v>
      </c>
      <c r="H358" s="460"/>
      <c r="I358" s="460" t="s">
        <v>251</v>
      </c>
      <c r="J358" s="460"/>
      <c r="K358" s="460" t="s">
        <v>1533</v>
      </c>
      <c r="L358" s="460">
        <v>60005259</v>
      </c>
      <c r="M358" s="461">
        <v>45631</v>
      </c>
      <c r="N358" s="461">
        <v>45643</v>
      </c>
      <c r="O358" s="516" t="s">
        <v>2211</v>
      </c>
      <c r="P358" s="463" t="str">
        <f>IF(LEFT(B358,5)="09735",
    IF(ISNA(VLOOKUP(Tabla13[[#This Row],[Apoyo]],'LM SAP'!A:G,1,FALSE)),
        "No Disponible",
        IF(VLOOKUP(Tabla13[[#This Row],[Apoyo]],'LM SAP'!A:AD,9,FALSE)="RR",
            "Disponible",
            "Firmas SAP"
        )
    ),
    "CONSULTAR"
)</f>
        <v>No Disponible</v>
      </c>
      <c r="Q358" s="460" t="str">
        <f>MID(Tabla13[[#This Row],[Código Indra]],1,13)</f>
        <v>0973544000130</v>
      </c>
      <c r="R358" s="464" t="str">
        <f>IF(ISNA(VLOOKUP(Tabla13[[#This Row],[Código Indra]],#REF!,1,FALSE)),"NO", "SI")</f>
        <v>SI</v>
      </c>
      <c r="S358" s="460" t="str">
        <f>IF(ISNA(VLOOKUP(Tabla13[[#This Row],[Código Indra]],Tabla132[[Código INDRA]:[Nombre]],1,FALSE)),"NO", "SI")</f>
        <v>NO</v>
      </c>
      <c r="T358" s="465"/>
      <c r="U358" s="464" t="s">
        <v>256</v>
      </c>
      <c r="V358" s="464" t="e">
        <f>VLOOKUP(Tabla13[[#This Row],[Apoyo]],'LM SAP'!A:I,9,FALSE)</f>
        <v>#N/A</v>
      </c>
      <c r="X358" s="466"/>
      <c r="Y358" s="464">
        <f>Tabla13[[#This Row],[ID]]</f>
        <v>347</v>
      </c>
    </row>
    <row r="359" spans="1:25" s="464" customFormat="1" ht="36" x14ac:dyDescent="0.25">
      <c r="A359" s="453">
        <v>348</v>
      </c>
      <c r="B359" s="454" t="s">
        <v>2605</v>
      </c>
      <c r="C359" s="469" t="s">
        <v>2606</v>
      </c>
      <c r="D359" s="456" t="s">
        <v>167</v>
      </c>
      <c r="E359" s="457" t="s">
        <v>2607</v>
      </c>
      <c r="F359" s="458">
        <v>1</v>
      </c>
      <c r="G359" s="514" t="s">
        <v>166</v>
      </c>
      <c r="H359" s="460"/>
      <c r="I359" s="460" t="s">
        <v>251</v>
      </c>
      <c r="J359" s="460"/>
      <c r="K359" s="460" t="s">
        <v>1533</v>
      </c>
      <c r="L359" s="460">
        <v>60005259</v>
      </c>
      <c r="M359" s="461">
        <v>45631</v>
      </c>
      <c r="N359" s="461">
        <v>45643</v>
      </c>
      <c r="O359" s="516" t="s">
        <v>2211</v>
      </c>
      <c r="P359" s="463" t="str">
        <f>IF(LEFT(B359,5)="09735",
    IF(ISNA(VLOOKUP(Tabla13[[#This Row],[Apoyo]],'LM SAP'!A:G,1,FALSE)),
        "No Disponible",
        IF(VLOOKUP(Tabla13[[#This Row],[Apoyo]],'LM SAP'!A:AD,9,FALSE)="RR",
            "Disponible",
            "Firmas SAP"
        )
    ),
    "CONSULTAR"
)</f>
        <v>No Disponible</v>
      </c>
      <c r="Q359" s="460" t="str">
        <f>MID(Tabla13[[#This Row],[Código Indra]],1,13)</f>
        <v>0973544000131</v>
      </c>
      <c r="R359" s="464" t="str">
        <f>IF(ISNA(VLOOKUP(Tabla13[[#This Row],[Código Indra]],#REF!,1,FALSE)),"NO", "SI")</f>
        <v>SI</v>
      </c>
      <c r="S359" s="460" t="str">
        <f>IF(ISNA(VLOOKUP(Tabla13[[#This Row],[Código Indra]],Tabla132[[Código INDRA]:[Nombre]],1,FALSE)),"NO", "SI")</f>
        <v>NO</v>
      </c>
      <c r="T359" s="465"/>
      <c r="U359" s="464" t="s">
        <v>256</v>
      </c>
      <c r="V359" s="464" t="e">
        <f>VLOOKUP(Tabla13[[#This Row],[Apoyo]],'LM SAP'!A:I,9,FALSE)</f>
        <v>#N/A</v>
      </c>
      <c r="X359" s="466"/>
      <c r="Y359" s="464">
        <f>Tabla13[[#This Row],[ID]]</f>
        <v>348</v>
      </c>
    </row>
    <row r="360" spans="1:25" s="479" customFormat="1" ht="36" x14ac:dyDescent="0.25">
      <c r="A360" s="453">
        <v>349</v>
      </c>
      <c r="B360" s="454" t="s">
        <v>2608</v>
      </c>
      <c r="C360" s="469" t="s">
        <v>2609</v>
      </c>
      <c r="D360" s="456" t="s">
        <v>167</v>
      </c>
      <c r="E360" s="457" t="s">
        <v>2610</v>
      </c>
      <c r="F360" s="458">
        <v>1</v>
      </c>
      <c r="G360" s="514" t="s">
        <v>166</v>
      </c>
      <c r="H360" s="460"/>
      <c r="I360" s="460" t="s">
        <v>251</v>
      </c>
      <c r="J360" s="460"/>
      <c r="K360" s="460" t="s">
        <v>1533</v>
      </c>
      <c r="L360" s="460">
        <v>60005259</v>
      </c>
      <c r="M360" s="461">
        <v>45631</v>
      </c>
      <c r="N360" s="461">
        <v>45643</v>
      </c>
      <c r="O360" s="516" t="s">
        <v>2211</v>
      </c>
      <c r="P360" s="463" t="str">
        <f>IF(LEFT(B360,5)="09735",
    IF(ISNA(VLOOKUP(Tabla13[[#This Row],[Apoyo]],'LM SAP'!A:G,1,FALSE)),
        "No Disponible",
        IF(VLOOKUP(Tabla13[[#This Row],[Apoyo]],'LM SAP'!A:AD,9,FALSE)="RR",
            "Disponible",
            "Firmas SAP"
        )
    ),
    "CONSULTAR"
)</f>
        <v>No Disponible</v>
      </c>
      <c r="Q360" s="460" t="str">
        <f>MID(Tabla13[[#This Row],[Código Indra]],1,13)</f>
        <v>0973544000132</v>
      </c>
      <c r="R360" s="464" t="str">
        <f>IF(ISNA(VLOOKUP(Tabla13[[#This Row],[Código Indra]],#REF!,1,FALSE)),"NO", "SI")</f>
        <v>SI</v>
      </c>
      <c r="S360" s="460" t="str">
        <f>IF(ISNA(VLOOKUP(Tabla13[[#This Row],[Código Indra]],Tabla132[[Código INDRA]:[Nombre]],1,FALSE)),"NO", "SI")</f>
        <v>NO</v>
      </c>
      <c r="T360" s="465"/>
      <c r="U360" s="464" t="s">
        <v>256</v>
      </c>
      <c r="V360" s="464" t="e">
        <f>VLOOKUP(Tabla13[[#This Row],[Apoyo]],'LM SAP'!A:I,9,FALSE)</f>
        <v>#N/A</v>
      </c>
      <c r="W360" s="464"/>
      <c r="X360" s="466"/>
      <c r="Y360" s="464">
        <f>Tabla13[[#This Row],[ID]]</f>
        <v>349</v>
      </c>
    </row>
    <row r="361" spans="1:25" s="479" customFormat="1" ht="36" x14ac:dyDescent="0.25">
      <c r="A361" s="453">
        <v>350</v>
      </c>
      <c r="B361" s="454" t="s">
        <v>2611</v>
      </c>
      <c r="C361" s="469" t="s">
        <v>2612</v>
      </c>
      <c r="D361" s="456" t="s">
        <v>167</v>
      </c>
      <c r="E361" s="457" t="s">
        <v>2613</v>
      </c>
      <c r="F361" s="458">
        <v>1</v>
      </c>
      <c r="G361" s="514" t="s">
        <v>166</v>
      </c>
      <c r="H361" s="460"/>
      <c r="I361" s="460" t="s">
        <v>251</v>
      </c>
      <c r="J361" s="460"/>
      <c r="K361" s="460" t="s">
        <v>1533</v>
      </c>
      <c r="L361" s="460">
        <v>60005259</v>
      </c>
      <c r="M361" s="461">
        <v>45631</v>
      </c>
      <c r="N361" s="461">
        <v>45643</v>
      </c>
      <c r="O361" s="516" t="s">
        <v>2211</v>
      </c>
      <c r="P361" s="463" t="str">
        <f>IF(LEFT(B361,5)="09735",
    IF(ISNA(VLOOKUP(Tabla13[[#This Row],[Apoyo]],'LM SAP'!A:G,1,FALSE)),
        "No Disponible",
        IF(VLOOKUP(Tabla13[[#This Row],[Apoyo]],'LM SAP'!A:AD,9,FALSE)="RR",
            "Disponible",
            "Firmas SAP"
        )
    ),
    "CONSULTAR"
)</f>
        <v>No Disponible</v>
      </c>
      <c r="Q361" s="460" t="str">
        <f>MID(Tabla13[[#This Row],[Código Indra]],1,13)</f>
        <v>0973544000133</v>
      </c>
      <c r="R361" s="464" t="str">
        <f>IF(ISNA(VLOOKUP(Tabla13[[#This Row],[Código Indra]],#REF!,1,FALSE)),"NO", "SI")</f>
        <v>SI</v>
      </c>
      <c r="S361" s="460" t="str">
        <f>IF(ISNA(VLOOKUP(Tabla13[[#This Row],[Código Indra]],Tabla132[[Código INDRA]:[Nombre]],1,FALSE)),"NO", "SI")</f>
        <v>NO</v>
      </c>
      <c r="T361" s="465"/>
      <c r="U361" s="464" t="s">
        <v>256</v>
      </c>
      <c r="V361" s="464" t="e">
        <f>VLOOKUP(Tabla13[[#This Row],[Apoyo]],'LM SAP'!A:I,9,FALSE)</f>
        <v>#N/A</v>
      </c>
      <c r="W361" s="464"/>
      <c r="X361" s="466"/>
      <c r="Y361" s="464">
        <f>Tabla13[[#This Row],[ID]]</f>
        <v>350</v>
      </c>
    </row>
    <row r="362" spans="1:25" s="464" customFormat="1" ht="36" x14ac:dyDescent="0.25">
      <c r="A362" s="453">
        <v>351</v>
      </c>
      <c r="B362" s="454" t="s">
        <v>2614</v>
      </c>
      <c r="C362" s="469" t="s">
        <v>2615</v>
      </c>
      <c r="D362" s="456" t="s">
        <v>167</v>
      </c>
      <c r="E362" s="457" t="s">
        <v>2616</v>
      </c>
      <c r="F362" s="458">
        <v>1</v>
      </c>
      <c r="G362" s="514" t="s">
        <v>166</v>
      </c>
      <c r="H362" s="460"/>
      <c r="I362" s="460" t="s">
        <v>251</v>
      </c>
      <c r="J362" s="460"/>
      <c r="K362" s="460" t="s">
        <v>1533</v>
      </c>
      <c r="L362" s="460">
        <v>60005259</v>
      </c>
      <c r="M362" s="461">
        <v>45631</v>
      </c>
      <c r="N362" s="461">
        <v>45643</v>
      </c>
      <c r="O362" s="516" t="s">
        <v>2211</v>
      </c>
      <c r="P362" s="463" t="str">
        <f>IF(LEFT(B362,5)="09735",
    IF(ISNA(VLOOKUP(Tabla13[[#This Row],[Apoyo]],'LM SAP'!A:G,1,FALSE)),
        "No Disponible",
        IF(VLOOKUP(Tabla13[[#This Row],[Apoyo]],'LM SAP'!A:AD,9,FALSE)="RR",
            "Disponible",
            "Firmas SAP"
        )
    ),
    "CONSULTAR"
)</f>
        <v>Disponible</v>
      </c>
      <c r="Q362" s="460" t="str">
        <f>MID(Tabla13[[#This Row],[Código Indra]],1,13)</f>
        <v>0973544000134</v>
      </c>
      <c r="R362" s="464" t="str">
        <f>IF(ISNA(VLOOKUP(Tabla13[[#This Row],[Código Indra]],#REF!,1,FALSE)),"NO", "SI")</f>
        <v>SI</v>
      </c>
      <c r="S362" s="460" t="str">
        <f>IF(ISNA(VLOOKUP(Tabla13[[#This Row],[Código Indra]],Tabla132[[Código INDRA]:[Nombre]],1,FALSE)),"NO", "SI")</f>
        <v>NO</v>
      </c>
      <c r="T362" s="465"/>
      <c r="U362" s="464" t="s">
        <v>256</v>
      </c>
      <c r="V362" s="464" t="str">
        <f>VLOOKUP(Tabla13[[#This Row],[Apoyo]],'LM SAP'!A:I,9,FALSE)</f>
        <v>RR</v>
      </c>
      <c r="X362" s="466"/>
      <c r="Y362" s="464">
        <f>Tabla13[[#This Row],[ID]]</f>
        <v>351</v>
      </c>
    </row>
    <row r="363" spans="1:25" s="464" customFormat="1" ht="36" x14ac:dyDescent="0.25">
      <c r="A363" s="453">
        <v>352</v>
      </c>
      <c r="B363" s="454" t="s">
        <v>2617</v>
      </c>
      <c r="C363" s="469" t="s">
        <v>2618</v>
      </c>
      <c r="D363" s="456" t="s">
        <v>167</v>
      </c>
      <c r="E363" s="457" t="s">
        <v>2619</v>
      </c>
      <c r="F363" s="458">
        <v>1</v>
      </c>
      <c r="G363" s="514" t="s">
        <v>166</v>
      </c>
      <c r="H363" s="460"/>
      <c r="I363" s="460" t="s">
        <v>251</v>
      </c>
      <c r="J363" s="460"/>
      <c r="K363" s="460" t="s">
        <v>1533</v>
      </c>
      <c r="L363" s="460">
        <v>60005259</v>
      </c>
      <c r="M363" s="461">
        <v>45631</v>
      </c>
      <c r="N363" s="461">
        <v>45643</v>
      </c>
      <c r="O363" s="516" t="s">
        <v>2211</v>
      </c>
      <c r="P363" s="463" t="str">
        <f>IF(LEFT(B363,5)="09735",
    IF(ISNA(VLOOKUP(Tabla13[[#This Row],[Apoyo]],'LM SAP'!A:G,1,FALSE)),
        "No Disponible",
        IF(VLOOKUP(Tabla13[[#This Row],[Apoyo]],'LM SAP'!A:AD,9,FALSE)="RR",
            "Disponible",
            "Firmas SAP"
        )
    ),
    "CONSULTAR"
)</f>
        <v>Disponible</v>
      </c>
      <c r="Q363" s="460" t="str">
        <f>MID(Tabla13[[#This Row],[Código Indra]],1,13)</f>
        <v>0973544000135</v>
      </c>
      <c r="R363" s="464" t="str">
        <f>IF(ISNA(VLOOKUP(Tabla13[[#This Row],[Código Indra]],#REF!,1,FALSE)),"NO", "SI")</f>
        <v>SI</v>
      </c>
      <c r="S363" s="460" t="str">
        <f>IF(ISNA(VLOOKUP(Tabla13[[#This Row],[Código Indra]],Tabla132[[Código INDRA]:[Nombre]],1,FALSE)),"NO", "SI")</f>
        <v>NO</v>
      </c>
      <c r="T363" s="465"/>
      <c r="U363" s="464" t="s">
        <v>256</v>
      </c>
      <c r="V363" s="464" t="str">
        <f>VLOOKUP(Tabla13[[#This Row],[Apoyo]],'LM SAP'!A:I,9,FALSE)</f>
        <v>RR</v>
      </c>
      <c r="X363" s="466"/>
      <c r="Y363" s="464">
        <f>Tabla13[[#This Row],[ID]]</f>
        <v>352</v>
      </c>
    </row>
    <row r="364" spans="1:25" s="464" customFormat="1" ht="36" x14ac:dyDescent="0.25">
      <c r="A364" s="453">
        <v>353</v>
      </c>
      <c r="B364" s="454">
        <v>973544000140</v>
      </c>
      <c r="C364" s="469" t="s">
        <v>2620</v>
      </c>
      <c r="D364" s="456" t="s">
        <v>167</v>
      </c>
      <c r="E364" s="457" t="s">
        <v>2621</v>
      </c>
      <c r="F364" s="458">
        <v>1</v>
      </c>
      <c r="G364" s="514" t="s">
        <v>166</v>
      </c>
      <c r="H364" s="460"/>
      <c r="I364" s="460" t="s">
        <v>251</v>
      </c>
      <c r="J364" s="460"/>
      <c r="K364" s="460" t="s">
        <v>1533</v>
      </c>
      <c r="L364" s="460">
        <v>60005259</v>
      </c>
      <c r="M364" s="461">
        <v>45631</v>
      </c>
      <c r="N364" s="461">
        <v>45643</v>
      </c>
      <c r="O364" s="516" t="s">
        <v>2211</v>
      </c>
      <c r="P364" s="463" t="str">
        <f>IF(LEFT(B364,5)="09735",
    IF(ISNA(VLOOKUP(Tabla13[[#This Row],[Apoyo]],'LM SAP'!A:G,1,FALSE)),
        "No Disponible",
        IF(VLOOKUP(Tabla13[[#This Row],[Apoyo]],'LM SAP'!A:AD,9,FALSE)="RR",
            "Disponible",
            "Firmas SAP"
        )
    ),
    "CONSULTAR"
)</f>
        <v>CONSULTAR</v>
      </c>
      <c r="Q364" s="460" t="str">
        <f>MID(Tabla13[[#This Row],[Código Indra]],1,13)</f>
        <v>973544000140</v>
      </c>
      <c r="R364" s="464" t="str">
        <f>IF(ISNA(VLOOKUP(Tabla13[[#This Row],[Código Indra]],#REF!,1,FALSE)),"NO", "SI")</f>
        <v>SI</v>
      </c>
      <c r="S364" s="460" t="str">
        <f>IF(ISNA(VLOOKUP(Tabla13[[#This Row],[Código Indra]],Tabla132[[Código INDRA]:[Nombre]],1,FALSE)),"NO", "SI")</f>
        <v>NO</v>
      </c>
      <c r="T364" s="465"/>
      <c r="U364" s="464" t="s">
        <v>256</v>
      </c>
      <c r="V364" s="464" t="e">
        <f>VLOOKUP(Tabla13[[#This Row],[Apoyo]],'LM SAP'!A:I,9,FALSE)</f>
        <v>#N/A</v>
      </c>
      <c r="X364" s="466">
        <v>0</v>
      </c>
      <c r="Y364" s="464">
        <f>Tabla13[[#This Row],[ID]]</f>
        <v>353</v>
      </c>
    </row>
    <row r="365" spans="1:25" s="464" customFormat="1" ht="36" x14ac:dyDescent="0.25">
      <c r="A365" s="453">
        <v>354</v>
      </c>
      <c r="B365" s="454" t="s">
        <v>1373</v>
      </c>
      <c r="C365" s="469" t="s">
        <v>2622</v>
      </c>
      <c r="D365" s="456" t="s">
        <v>167</v>
      </c>
      <c r="E365" s="457" t="s">
        <v>2623</v>
      </c>
      <c r="F365" s="458">
        <v>1</v>
      </c>
      <c r="G365" s="514" t="s">
        <v>166</v>
      </c>
      <c r="H365" s="460"/>
      <c r="I365" s="460" t="s">
        <v>251</v>
      </c>
      <c r="J365" s="460"/>
      <c r="K365" s="460" t="s">
        <v>1533</v>
      </c>
      <c r="L365" s="460">
        <v>60005259</v>
      </c>
      <c r="M365" s="461">
        <v>45631</v>
      </c>
      <c r="N365" s="461">
        <v>45643</v>
      </c>
      <c r="O365" s="516" t="s">
        <v>2211</v>
      </c>
      <c r="P365" s="463" t="str">
        <f>IF(LEFT(B365,5)="09735",
    IF(ISNA(VLOOKUP(Tabla13[[#This Row],[Apoyo]],'LM SAP'!A:G,1,FALSE)),
        "No Disponible",
        IF(VLOOKUP(Tabla13[[#This Row],[Apoyo]],'LM SAP'!A:AD,9,FALSE)="RR",
            "Disponible",
            "Firmas SAP"
        )
    ),
    "CONSULTAR"
)</f>
        <v>No Disponible</v>
      </c>
      <c r="Q365" s="460" t="str">
        <f>MID(Tabla13[[#This Row],[Código Indra]],1,13)</f>
        <v>0973544000141</v>
      </c>
      <c r="R365" s="464" t="str">
        <f>IF(ISNA(VLOOKUP(Tabla13[[#This Row],[Código Indra]],#REF!,1,FALSE)),"NO", "SI")</f>
        <v>SI</v>
      </c>
      <c r="S365" s="460" t="str">
        <f>IF(ISNA(VLOOKUP(Tabla13[[#This Row],[Código Indra]],Tabla132[[Código INDRA]:[Nombre]],1,FALSE)),"NO", "SI")</f>
        <v>NO</v>
      </c>
      <c r="T365" s="465"/>
      <c r="U365" s="464" t="s">
        <v>256</v>
      </c>
      <c r="V365" s="464" t="e">
        <f>VLOOKUP(Tabla13[[#This Row],[Apoyo]],'LM SAP'!A:I,9,FALSE)</f>
        <v>#N/A</v>
      </c>
      <c r="X365" s="466">
        <v>0</v>
      </c>
      <c r="Y365" s="464">
        <f>Tabla13[[#This Row],[ID]]</f>
        <v>354</v>
      </c>
    </row>
    <row r="366" spans="1:25" s="464" customFormat="1" ht="48" x14ac:dyDescent="0.25">
      <c r="A366" s="453">
        <v>355</v>
      </c>
      <c r="B366" s="454">
        <v>973544000142</v>
      </c>
      <c r="C366" s="456" t="s">
        <v>167</v>
      </c>
      <c r="D366" s="456" t="s">
        <v>167</v>
      </c>
      <c r="E366" s="457" t="s">
        <v>2624</v>
      </c>
      <c r="F366" s="458">
        <v>1</v>
      </c>
      <c r="G366" s="514" t="s">
        <v>166</v>
      </c>
      <c r="H366" s="460"/>
      <c r="I366" s="460" t="s">
        <v>251</v>
      </c>
      <c r="J366" s="460"/>
      <c r="K366" s="460" t="s">
        <v>1533</v>
      </c>
      <c r="L366" s="460">
        <v>60005259</v>
      </c>
      <c r="M366" s="461">
        <v>45631</v>
      </c>
      <c r="N366" s="461">
        <v>45643</v>
      </c>
      <c r="O366" s="516" t="s">
        <v>2625</v>
      </c>
      <c r="P366" s="463" t="str">
        <f>IF(LEFT(B366,5)="09735",
    IF(ISNA(VLOOKUP(Tabla13[[#This Row],[Apoyo]],'LM SAP'!A:G,1,FALSE)),
        "No Disponible",
        IF(VLOOKUP(Tabla13[[#This Row],[Apoyo]],'LM SAP'!A:AD,9,FALSE)="RR",
            "Disponible",
            "Firmas SAP"
        )
    ),
    "CONSULTAR"
)</f>
        <v>CONSULTAR</v>
      </c>
      <c r="Q366" s="460" t="str">
        <f>MID(Tabla13[[#This Row],[Código Indra]],1,13)</f>
        <v>973544000142</v>
      </c>
      <c r="R366" s="464" t="str">
        <f>IF(ISNA(VLOOKUP(Tabla13[[#This Row],[Código Indra]],#REF!,1,FALSE)),"NO", "SI")</f>
        <v>SI</v>
      </c>
      <c r="S366" s="460" t="str">
        <f>IF(ISNA(VLOOKUP(Tabla13[[#This Row],[Código Indra]],Tabla132[[Código INDRA]:[Nombre]],1,FALSE)),"NO", "SI")</f>
        <v>NO</v>
      </c>
      <c r="T366" s="465"/>
      <c r="U366" s="464" t="s">
        <v>256</v>
      </c>
      <c r="V366" s="464" t="e">
        <f>VLOOKUP(Tabla13[[#This Row],[Apoyo]],'LM SAP'!A:I,9,FALSE)</f>
        <v>#N/A</v>
      </c>
      <c r="X366" s="466">
        <v>0</v>
      </c>
      <c r="Y366" s="464">
        <f>Tabla13[[#This Row],[ID]]</f>
        <v>355</v>
      </c>
    </row>
    <row r="367" spans="1:25" s="464" customFormat="1" ht="24" x14ac:dyDescent="0.25">
      <c r="A367" s="453">
        <v>356</v>
      </c>
      <c r="B367" s="454">
        <v>973524017000</v>
      </c>
      <c r="C367" s="455" t="s">
        <v>195</v>
      </c>
      <c r="D367" s="456"/>
      <c r="E367" s="457" t="s">
        <v>1368</v>
      </c>
      <c r="F367" s="458">
        <v>1</v>
      </c>
      <c r="G367" s="541" t="s">
        <v>260</v>
      </c>
      <c r="H367" s="460"/>
      <c r="I367" s="460" t="s">
        <v>251</v>
      </c>
      <c r="J367" s="460"/>
      <c r="K367" s="460" t="s">
        <v>1411</v>
      </c>
      <c r="L367" s="460">
        <v>60005441</v>
      </c>
      <c r="M367" s="461">
        <v>45644</v>
      </c>
      <c r="N367" s="461">
        <v>45306</v>
      </c>
      <c r="O367" s="542" t="s">
        <v>2626</v>
      </c>
      <c r="P367" s="463" t="str">
        <f>IF(LEFT(B367,5)="09735",
    IF(ISNA(VLOOKUP(Tabla13[[#This Row],[Apoyo]],'LM SAP'!A:G,1,FALSE)),
        "No Disponible",
        IF(VLOOKUP(Tabla13[[#This Row],[Apoyo]],'LM SAP'!A:AD,9,FALSE)="RR",
            "Disponible",
            "Firmas SAP"
        )
    ),
    "CONSULTAR"
)</f>
        <v>CONSULTAR</v>
      </c>
      <c r="Q367" s="460" t="str">
        <f>MID(Tabla13[[#This Row],[Código Indra]],1,13)</f>
        <v>973524017000</v>
      </c>
      <c r="R367" s="464" t="str">
        <f>IF(ISNA(VLOOKUP(Tabla13[[#This Row],[Código Indra]],#REF!,1,FALSE)),"NO", "SI")</f>
        <v>SI</v>
      </c>
      <c r="S367" s="460" t="str">
        <f>IF(ISNA(VLOOKUP(Tabla13[[#This Row],[Código Indra]],Tabla132[[Código INDRA]:[Nombre]],1,FALSE)),"NO", "SI")</f>
        <v>NO</v>
      </c>
      <c r="T367" s="465"/>
      <c r="U367" s="464" t="s">
        <v>227</v>
      </c>
      <c r="V367" s="464" t="e">
        <f>VLOOKUP(Tabla13[[#This Row],[Apoyo]],'LM SAP'!A:I,9,FALSE)</f>
        <v>#N/A</v>
      </c>
      <c r="X367" s="466">
        <v>0</v>
      </c>
      <c r="Y367" s="464">
        <f>Tabla13[[#This Row],[ID]]</f>
        <v>356</v>
      </c>
    </row>
    <row r="368" spans="1:25" s="464" customFormat="1" ht="36" x14ac:dyDescent="0.25">
      <c r="A368" s="453">
        <v>357</v>
      </c>
      <c r="B368" s="454" t="s">
        <v>2627</v>
      </c>
      <c r="C368" s="469" t="s">
        <v>2628</v>
      </c>
      <c r="D368" s="456" t="s">
        <v>195</v>
      </c>
      <c r="E368" s="457" t="s">
        <v>2629</v>
      </c>
      <c r="F368" s="458">
        <v>1</v>
      </c>
      <c r="G368" s="514" t="s">
        <v>194</v>
      </c>
      <c r="H368" s="460"/>
      <c r="I368" s="460" t="s">
        <v>251</v>
      </c>
      <c r="J368" s="460"/>
      <c r="K368" s="460" t="s">
        <v>1533</v>
      </c>
      <c r="L368" s="460">
        <v>60005441</v>
      </c>
      <c r="M368" s="461"/>
      <c r="N368" s="461"/>
      <c r="O368" s="516" t="s">
        <v>2211</v>
      </c>
      <c r="P368" s="463" t="str">
        <f>IF(LEFT(B368,5)="09735",
    IF(ISNA(VLOOKUP(Tabla13[[#This Row],[Apoyo]],'LM SAP'!A:G,1,FALSE)),
        "No Disponible",
        IF(VLOOKUP(Tabla13[[#This Row],[Apoyo]],'LM SAP'!A:AD,9,FALSE)="RR",
            "Disponible",
            "Firmas SAP"
        )
    ),
    "CONSULTAR"
)</f>
        <v>No Disponible</v>
      </c>
      <c r="Q368" s="460" t="str">
        <f>MID(Tabla13[[#This Row],[Código Indra]],1,13)</f>
        <v>0973544017100</v>
      </c>
      <c r="R368" s="464" t="str">
        <f>IF(ISNA(VLOOKUP(Tabla13[[#This Row],[Código Indra]],#REF!,1,FALSE)),"NO", "SI")</f>
        <v>SI</v>
      </c>
      <c r="S368" s="460" t="str">
        <f>IF(ISNA(VLOOKUP(Tabla13[[#This Row],[Código Indra]],Tabla132[[Código INDRA]:[Nombre]],1,FALSE)),"NO", "SI")</f>
        <v>NO</v>
      </c>
      <c r="T368" s="465"/>
      <c r="U368" s="464" t="s">
        <v>256</v>
      </c>
      <c r="V368" s="464" t="e">
        <f>VLOOKUP(Tabla13[[#This Row],[Apoyo]],'LM SAP'!A:I,9,FALSE)</f>
        <v>#N/A</v>
      </c>
      <c r="X368" s="466"/>
      <c r="Y368" s="464">
        <f>Tabla13[[#This Row],[ID]]</f>
        <v>357</v>
      </c>
    </row>
    <row r="369" spans="1:25" s="464" customFormat="1" ht="36" x14ac:dyDescent="0.25">
      <c r="A369" s="453">
        <v>358</v>
      </c>
      <c r="B369" s="454" t="s">
        <v>2630</v>
      </c>
      <c r="C369" s="469" t="s">
        <v>2631</v>
      </c>
      <c r="D369" s="456" t="s">
        <v>195</v>
      </c>
      <c r="E369" s="457" t="s">
        <v>2632</v>
      </c>
      <c r="F369" s="458">
        <v>1</v>
      </c>
      <c r="G369" s="514" t="s">
        <v>194</v>
      </c>
      <c r="H369" s="460"/>
      <c r="I369" s="460" t="s">
        <v>251</v>
      </c>
      <c r="J369" s="460"/>
      <c r="K369" s="460" t="s">
        <v>1533</v>
      </c>
      <c r="L369" s="460">
        <v>60005441</v>
      </c>
      <c r="M369" s="461"/>
      <c r="N369" s="461"/>
      <c r="O369" s="516" t="s">
        <v>2211</v>
      </c>
      <c r="P369" s="463" t="str">
        <f>IF(LEFT(B369,5)="09735",
    IF(ISNA(VLOOKUP(Tabla13[[#This Row],[Apoyo]],'LM SAP'!A:G,1,FALSE)),
        "No Disponible",
        IF(VLOOKUP(Tabla13[[#This Row],[Apoyo]],'LM SAP'!A:AD,9,FALSE)="RR",
            "Disponible",
            "Firmas SAP"
        )
    ),
    "CONSULTAR"
)</f>
        <v>No Disponible</v>
      </c>
      <c r="Q369" s="460" t="str">
        <f>MID(Tabla13[[#This Row],[Código Indra]],1,13)</f>
        <v>0973544017200</v>
      </c>
      <c r="R369" s="464" t="str">
        <f>IF(ISNA(VLOOKUP(Tabla13[[#This Row],[Código Indra]],#REF!,1,FALSE)),"NO", "SI")</f>
        <v>SI</v>
      </c>
      <c r="S369" s="460" t="str">
        <f>IF(ISNA(VLOOKUP(Tabla13[[#This Row],[Código Indra]],Tabla132[[Código INDRA]:[Nombre]],1,FALSE)),"NO", "SI")</f>
        <v>NO</v>
      </c>
      <c r="T369" s="465"/>
      <c r="U369" s="464" t="s">
        <v>256</v>
      </c>
      <c r="V369" s="464" t="e">
        <f>VLOOKUP(Tabla13[[#This Row],[Apoyo]],'LM SAP'!A:I,9,FALSE)</f>
        <v>#N/A</v>
      </c>
      <c r="X369" s="466"/>
      <c r="Y369" s="464">
        <f>Tabla13[[#This Row],[ID]]</f>
        <v>358</v>
      </c>
    </row>
    <row r="370" spans="1:25" s="464" customFormat="1" ht="36" x14ac:dyDescent="0.25">
      <c r="A370" s="453">
        <v>359</v>
      </c>
      <c r="B370" s="454" t="s">
        <v>2633</v>
      </c>
      <c r="C370" s="469" t="s">
        <v>2634</v>
      </c>
      <c r="D370" s="456" t="s">
        <v>195</v>
      </c>
      <c r="E370" s="457" t="s">
        <v>2635</v>
      </c>
      <c r="F370" s="458">
        <v>1</v>
      </c>
      <c r="G370" s="514" t="s">
        <v>194</v>
      </c>
      <c r="H370" s="460"/>
      <c r="I370" s="460" t="s">
        <v>251</v>
      </c>
      <c r="J370" s="460"/>
      <c r="K370" s="460" t="s">
        <v>1533</v>
      </c>
      <c r="L370" s="460">
        <v>60005441</v>
      </c>
      <c r="M370" s="461"/>
      <c r="N370" s="461"/>
      <c r="O370" s="516" t="s">
        <v>2211</v>
      </c>
      <c r="P370" s="463" t="str">
        <f>IF(LEFT(B370,5)="09735",
    IF(ISNA(VLOOKUP(Tabla13[[#This Row],[Apoyo]],'LM SAP'!A:G,1,FALSE)),
        "No Disponible",
        IF(VLOOKUP(Tabla13[[#This Row],[Apoyo]],'LM SAP'!A:AD,9,FALSE)="RR",
            "Disponible",
            "Firmas SAP"
        )
    ),
    "CONSULTAR"
)</f>
        <v>No Disponible</v>
      </c>
      <c r="Q370" s="460" t="str">
        <f>MID(Tabla13[[#This Row],[Código Indra]],1,13)</f>
        <v>0973544017300</v>
      </c>
      <c r="R370" s="464" t="str">
        <f>IF(ISNA(VLOOKUP(Tabla13[[#This Row],[Código Indra]],#REF!,1,FALSE)),"NO", "SI")</f>
        <v>SI</v>
      </c>
      <c r="S370" s="460" t="str">
        <f>IF(ISNA(VLOOKUP(Tabla13[[#This Row],[Código Indra]],Tabla132[[Código INDRA]:[Nombre]],1,FALSE)),"NO", "SI")</f>
        <v>NO</v>
      </c>
      <c r="T370" s="465"/>
      <c r="U370" s="464" t="s">
        <v>256</v>
      </c>
      <c r="V370" s="464" t="e">
        <f>VLOOKUP(Tabla13[[#This Row],[Apoyo]],'LM SAP'!A:I,9,FALSE)</f>
        <v>#N/A</v>
      </c>
      <c r="X370" s="466"/>
      <c r="Y370" s="464">
        <f>Tabla13[[#This Row],[ID]]</f>
        <v>359</v>
      </c>
    </row>
    <row r="371" spans="1:25" s="464" customFormat="1" ht="36" x14ac:dyDescent="0.25">
      <c r="A371" s="453">
        <v>360</v>
      </c>
      <c r="B371" s="454" t="s">
        <v>2636</v>
      </c>
      <c r="C371" s="469" t="s">
        <v>2637</v>
      </c>
      <c r="D371" s="456" t="s">
        <v>195</v>
      </c>
      <c r="E371" s="457" t="s">
        <v>2638</v>
      </c>
      <c r="F371" s="458">
        <v>1</v>
      </c>
      <c r="G371" s="514" t="s">
        <v>194</v>
      </c>
      <c r="H371" s="460"/>
      <c r="I371" s="460" t="s">
        <v>251</v>
      </c>
      <c r="J371" s="460"/>
      <c r="K371" s="460" t="s">
        <v>1533</v>
      </c>
      <c r="L371" s="460">
        <v>60005441</v>
      </c>
      <c r="M371" s="461"/>
      <c r="N371" s="461"/>
      <c r="O371" s="516" t="s">
        <v>2211</v>
      </c>
      <c r="P371" s="463" t="str">
        <f>IF(LEFT(B371,5)="09735",
    IF(ISNA(VLOOKUP(Tabla13[[#This Row],[Apoyo]],'LM SAP'!A:G,1,FALSE)),
        "No Disponible",
        IF(VLOOKUP(Tabla13[[#This Row],[Apoyo]],'LM SAP'!A:AD,9,FALSE)="RR",
            "Disponible",
            "Firmas SAP"
        )
    ),
    "CONSULTAR"
)</f>
        <v>No Disponible</v>
      </c>
      <c r="Q371" s="460" t="str">
        <f>MID(Tabla13[[#This Row],[Código Indra]],1,13)</f>
        <v>0973544017400</v>
      </c>
      <c r="R371" s="464" t="str">
        <f>IF(ISNA(VLOOKUP(Tabla13[[#This Row],[Código Indra]],#REF!,1,FALSE)),"NO", "SI")</f>
        <v>SI</v>
      </c>
      <c r="S371" s="460" t="str">
        <f>IF(ISNA(VLOOKUP(Tabla13[[#This Row],[Código Indra]],Tabla132[[Código INDRA]:[Nombre]],1,FALSE)),"NO", "SI")</f>
        <v>NO</v>
      </c>
      <c r="T371" s="465"/>
      <c r="U371" s="464" t="s">
        <v>256</v>
      </c>
      <c r="V371" s="464" t="e">
        <f>VLOOKUP(Tabla13[[#This Row],[Apoyo]],'LM SAP'!A:I,9,FALSE)</f>
        <v>#N/A</v>
      </c>
      <c r="X371" s="466"/>
      <c r="Y371" s="464">
        <f>Tabla13[[#This Row],[ID]]</f>
        <v>360</v>
      </c>
    </row>
    <row r="372" spans="1:25" s="464" customFormat="1" ht="36" x14ac:dyDescent="0.25">
      <c r="A372" s="453">
        <v>361</v>
      </c>
      <c r="B372" s="480" t="s">
        <v>105</v>
      </c>
      <c r="C372" s="455" t="s">
        <v>106</v>
      </c>
      <c r="D372" s="456"/>
      <c r="E372" s="457" t="s">
        <v>700</v>
      </c>
      <c r="F372" s="458">
        <v>1</v>
      </c>
      <c r="G372" s="459"/>
      <c r="H372" s="460" t="s">
        <v>2000</v>
      </c>
      <c r="I372" s="460" t="s">
        <v>650</v>
      </c>
      <c r="J372" s="460"/>
      <c r="K372" s="460" t="s">
        <v>1411</v>
      </c>
      <c r="L372" s="460">
        <v>60005318</v>
      </c>
      <c r="M372" s="461">
        <v>45637</v>
      </c>
      <c r="N372" s="461">
        <v>45694</v>
      </c>
      <c r="O372" s="467" t="s">
        <v>2639</v>
      </c>
      <c r="P372" s="463" t="str">
        <f>IF(LEFT(B372,5)="09735",
    IF(ISNA(VLOOKUP(Tabla13[[#This Row],[Apoyo]],'LM SAP'!A:G,1,FALSE)),
        "No Disponible",
        IF(VLOOKUP(Tabla13[[#This Row],[Apoyo]],'LM SAP'!A:AD,9,FALSE)="RR",
            "Disponible",
            "Firmas SAP"
        )
    ),
    "CONSULTAR"
)</f>
        <v>No Disponible</v>
      </c>
      <c r="Q372" s="460" t="str">
        <f>MID(Tabla13[[#This Row],[Código Indra]],1,13)</f>
        <v>0973525411000</v>
      </c>
      <c r="R372" s="464" t="str">
        <f>IF(ISNA(VLOOKUP(Tabla13[[#This Row],[Código Indra]],#REF!,1,FALSE)),"NO", "SI")</f>
        <v>SI</v>
      </c>
      <c r="S372" s="460" t="str">
        <f>IF(ISNA(VLOOKUP(Tabla13[[#This Row],[Código Indra]],Tabla132[[Código INDRA]:[Nombre]],1,FALSE)),"NO", "SI")</f>
        <v>SI</v>
      </c>
      <c r="T372" s="465"/>
      <c r="U372" s="464" t="s">
        <v>227</v>
      </c>
      <c r="V372" s="464" t="e">
        <f>VLOOKUP(Tabla13[[#This Row],[Apoyo]],'LM SAP'!A:I,9,FALSE)</f>
        <v>#N/A</v>
      </c>
      <c r="X372" s="466">
        <v>0</v>
      </c>
      <c r="Y372" s="464">
        <f>Tabla13[[#This Row],[ID]]</f>
        <v>361</v>
      </c>
    </row>
    <row r="373" spans="1:25" s="464" customFormat="1" ht="24" x14ac:dyDescent="0.25">
      <c r="A373" s="453">
        <v>362</v>
      </c>
      <c r="B373" s="480" t="s">
        <v>768</v>
      </c>
      <c r="C373" s="469" t="s">
        <v>2640</v>
      </c>
      <c r="D373" s="456" t="s">
        <v>106</v>
      </c>
      <c r="E373" s="457" t="s">
        <v>770</v>
      </c>
      <c r="F373" s="458">
        <v>1</v>
      </c>
      <c r="G373" s="543"/>
      <c r="H373" s="460"/>
      <c r="I373" s="460" t="s">
        <v>2641</v>
      </c>
      <c r="J373" s="460"/>
      <c r="K373" s="460" t="s">
        <v>1411</v>
      </c>
      <c r="L373" s="460">
        <v>60005481</v>
      </c>
      <c r="M373" s="461">
        <v>45665</v>
      </c>
      <c r="N373" s="461">
        <v>45306</v>
      </c>
      <c r="O373" s="494" t="s">
        <v>300</v>
      </c>
      <c r="P373" s="463" t="str">
        <f>IF(LEFT(B373,5)="09735",
    IF(ISNA(VLOOKUP(Tabla13[[#This Row],[Apoyo]],'LM SAP'!A:G,1,FALSE)),
        "No Disponible",
        IF(VLOOKUP(Tabla13[[#This Row],[Apoyo]],'LM SAP'!A:AD,9,FALSE)="RR",
            "Disponible",
            "Firmas SAP"
        )
    ),
    "CONSULTAR"
)</f>
        <v>No Disponible</v>
      </c>
      <c r="Q373" s="460" t="str">
        <f>MID(Tabla13[[#This Row],[Código Indra]],1,13)</f>
        <v>0973545030101</v>
      </c>
      <c r="R373" s="464" t="str">
        <f>IF(ISNA(VLOOKUP(Tabla13[[#This Row],[Código Indra]],#REF!,1,FALSE)),"NO", "SI")</f>
        <v>SI</v>
      </c>
      <c r="S373" s="460" t="str">
        <f>IF(ISNA(VLOOKUP(Tabla13[[#This Row],[Código Indra]],Tabla132[[Código INDRA]:[Nombre]],1,FALSE)),"NO", "SI")</f>
        <v>NO</v>
      </c>
      <c r="T373" s="465"/>
      <c r="U373" s="464" t="s">
        <v>256</v>
      </c>
      <c r="V373" s="464" t="e">
        <f>VLOOKUP(Tabla13[[#This Row],[Apoyo]],'LM SAP'!A:I,9,FALSE)</f>
        <v>#N/A</v>
      </c>
      <c r="X373" s="466">
        <v>0</v>
      </c>
      <c r="Y373" s="464">
        <f>Tabla13[[#This Row],[ID]]</f>
        <v>362</v>
      </c>
    </row>
    <row r="374" spans="1:25" s="464" customFormat="1" ht="24" x14ac:dyDescent="0.25">
      <c r="A374" s="453">
        <v>363</v>
      </c>
      <c r="B374" s="454" t="s">
        <v>771</v>
      </c>
      <c r="C374" s="469" t="s">
        <v>2642</v>
      </c>
      <c r="D374" s="456" t="s">
        <v>106</v>
      </c>
      <c r="E374" s="457" t="s">
        <v>773</v>
      </c>
      <c r="F374" s="458">
        <v>1</v>
      </c>
      <c r="G374" s="543"/>
      <c r="H374" s="460"/>
      <c r="I374" s="460" t="s">
        <v>2641</v>
      </c>
      <c r="J374" s="460"/>
      <c r="K374" s="460" t="s">
        <v>1411</v>
      </c>
      <c r="L374" s="460">
        <v>60005482</v>
      </c>
      <c r="M374" s="461">
        <v>45665</v>
      </c>
      <c r="N374" s="461">
        <v>45306</v>
      </c>
      <c r="O374" s="494" t="s">
        <v>300</v>
      </c>
      <c r="P374" s="463" t="str">
        <f>IF(LEFT(B374,5)="09735",
    IF(ISNA(VLOOKUP(Tabla13[[#This Row],[Apoyo]],'LM SAP'!A:G,1,FALSE)),
        "No Disponible",
        IF(VLOOKUP(Tabla13[[#This Row],[Apoyo]],'LM SAP'!A:AD,9,FALSE)="RR",
            "Disponible",
            "Firmas SAP"
        )
    ),
    "CONSULTAR"
)</f>
        <v>No Disponible</v>
      </c>
      <c r="Q374" s="460" t="str">
        <f>MID(Tabla13[[#This Row],[Código Indra]],1,13)</f>
        <v>0973545030201</v>
      </c>
      <c r="R374" s="464" t="str">
        <f>IF(ISNA(VLOOKUP(Tabla13[[#This Row],[Código Indra]],#REF!,1,FALSE)),"NO", "SI")</f>
        <v>SI</v>
      </c>
      <c r="S374" s="460" t="str">
        <f>IF(ISNA(VLOOKUP(Tabla13[[#This Row],[Código Indra]],Tabla132[[Código INDRA]:[Nombre]],1,FALSE)),"NO", "SI")</f>
        <v>NO</v>
      </c>
      <c r="T374" s="465"/>
      <c r="U374" s="464" t="s">
        <v>256</v>
      </c>
      <c r="V374" s="464" t="e">
        <f>VLOOKUP(Tabla13[[#This Row],[Apoyo]],'LM SAP'!A:I,9,FALSE)</f>
        <v>#N/A</v>
      </c>
      <c r="X374" s="466">
        <v>0</v>
      </c>
      <c r="Y374" s="464">
        <f>Tabla13[[#This Row],[ID]]</f>
        <v>363</v>
      </c>
    </row>
    <row r="375" spans="1:25" s="464" customFormat="1" ht="24" x14ac:dyDescent="0.25">
      <c r="A375" s="453">
        <v>364</v>
      </c>
      <c r="B375" s="480" t="s">
        <v>774</v>
      </c>
      <c r="C375" s="469" t="s">
        <v>2643</v>
      </c>
      <c r="D375" s="456" t="s">
        <v>106</v>
      </c>
      <c r="E375" s="457" t="s">
        <v>776</v>
      </c>
      <c r="F375" s="458">
        <v>1</v>
      </c>
      <c r="G375" s="543"/>
      <c r="H375" s="460" t="s">
        <v>2000</v>
      </c>
      <c r="I375" s="460" t="s">
        <v>2641</v>
      </c>
      <c r="J375" s="460"/>
      <c r="K375" s="460" t="s">
        <v>1411</v>
      </c>
      <c r="L375" s="460">
        <v>60005483</v>
      </c>
      <c r="M375" s="461">
        <v>45665</v>
      </c>
      <c r="N375" s="461">
        <v>45679</v>
      </c>
      <c r="O375" s="544" t="s">
        <v>2644</v>
      </c>
      <c r="P375" s="463" t="str">
        <f>IF(LEFT(B375,5)="09735",
    IF(ISNA(VLOOKUP(Tabla13[[#This Row],[Apoyo]],'LM SAP'!A:G,1,FALSE)),
        "No Disponible",
        IF(VLOOKUP(Tabla13[[#This Row],[Apoyo]],'LM SAP'!A:AD,9,FALSE)="RR",
            "Disponible",
            "Firmas SAP"
        )
    ),
    "CONSULTAR"
)</f>
        <v>No Disponible</v>
      </c>
      <c r="Q375" s="460" t="str">
        <f>MID(Tabla13[[#This Row],[Código Indra]],1,13)</f>
        <v>0973545030301</v>
      </c>
      <c r="R375" s="464" t="str">
        <f>IF(ISNA(VLOOKUP(Tabla13[[#This Row],[Código Indra]],#REF!,1,FALSE)),"NO", "SI")</f>
        <v>SI</v>
      </c>
      <c r="S375" s="460" t="str">
        <f>IF(ISNA(VLOOKUP(Tabla13[[#This Row],[Código Indra]],Tabla132[[Código INDRA]:[Nombre]],1,FALSE)),"NO", "SI")</f>
        <v>SI</v>
      </c>
      <c r="T375" s="465"/>
      <c r="U375" s="464" t="s">
        <v>256</v>
      </c>
      <c r="V375" s="464" t="e">
        <f>VLOOKUP(Tabla13[[#This Row],[Apoyo]],'LM SAP'!A:I,9,FALSE)</f>
        <v>#N/A</v>
      </c>
      <c r="X375" s="466">
        <v>0</v>
      </c>
      <c r="Y375" s="464">
        <f>Tabla13[[#This Row],[ID]]</f>
        <v>364</v>
      </c>
    </row>
    <row r="376" spans="1:25" s="464" customFormat="1" ht="24" x14ac:dyDescent="0.25">
      <c r="A376" s="453">
        <v>365</v>
      </c>
      <c r="B376" s="454" t="s">
        <v>777</v>
      </c>
      <c r="C376" s="469" t="s">
        <v>2645</v>
      </c>
      <c r="D376" s="456" t="s">
        <v>106</v>
      </c>
      <c r="E376" s="457" t="s">
        <v>779</v>
      </c>
      <c r="F376" s="458">
        <v>1</v>
      </c>
      <c r="G376" s="543"/>
      <c r="H376" s="460"/>
      <c r="I376" s="460" t="s">
        <v>2641</v>
      </c>
      <c r="J376" s="460"/>
      <c r="K376" s="460" t="s">
        <v>1411</v>
      </c>
      <c r="L376" s="460">
        <v>60005484</v>
      </c>
      <c r="M376" s="461">
        <v>45665</v>
      </c>
      <c r="N376" s="461">
        <v>45306</v>
      </c>
      <c r="O376" s="494" t="s">
        <v>300</v>
      </c>
      <c r="P376" s="463" t="str">
        <f>IF(LEFT(B376,5)="09735",
    IF(ISNA(VLOOKUP(Tabla13[[#This Row],[Apoyo]],'LM SAP'!A:G,1,FALSE)),
        "No Disponible",
        IF(VLOOKUP(Tabla13[[#This Row],[Apoyo]],'LM SAP'!A:AD,9,FALSE)="RR",
            "Disponible",
            "Firmas SAP"
        )
    ),
    "CONSULTAR"
)</f>
        <v>No Disponible</v>
      </c>
      <c r="Q376" s="460" t="str">
        <f>MID(Tabla13[[#This Row],[Código Indra]],1,13)</f>
        <v>0973545030401</v>
      </c>
      <c r="R376" s="464" t="str">
        <f>IF(ISNA(VLOOKUP(Tabla13[[#This Row],[Código Indra]],#REF!,1,FALSE)),"NO", "SI")</f>
        <v>SI</v>
      </c>
      <c r="S376" s="460" t="str">
        <f>IF(ISNA(VLOOKUP(Tabla13[[#This Row],[Código Indra]],Tabla132[[Código INDRA]:[Nombre]],1,FALSE)),"NO", "SI")</f>
        <v>NO</v>
      </c>
      <c r="T376" s="465"/>
      <c r="U376" s="464" t="s">
        <v>256</v>
      </c>
      <c r="V376" s="464" t="e">
        <f>VLOOKUP(Tabla13[[#This Row],[Apoyo]],'LM SAP'!A:I,9,FALSE)</f>
        <v>#N/A</v>
      </c>
      <c r="X376" s="466">
        <v>0</v>
      </c>
      <c r="Y376" s="464">
        <f>Tabla13[[#This Row],[ID]]</f>
        <v>365</v>
      </c>
    </row>
    <row r="377" spans="1:25" s="464" customFormat="1" ht="24" x14ac:dyDescent="0.25">
      <c r="A377" s="453">
        <v>366</v>
      </c>
      <c r="B377" s="454" t="s">
        <v>780</v>
      </c>
      <c r="C377" s="469" t="s">
        <v>2646</v>
      </c>
      <c r="D377" s="456" t="s">
        <v>106</v>
      </c>
      <c r="E377" s="457" t="s">
        <v>782</v>
      </c>
      <c r="F377" s="458">
        <v>1</v>
      </c>
      <c r="G377" s="543"/>
      <c r="H377" s="460"/>
      <c r="I377" s="460" t="s">
        <v>2641</v>
      </c>
      <c r="J377" s="460"/>
      <c r="K377" s="460" t="s">
        <v>1411</v>
      </c>
      <c r="L377" s="460">
        <v>60005485</v>
      </c>
      <c r="M377" s="461">
        <v>45665</v>
      </c>
      <c r="N377" s="461">
        <v>45306</v>
      </c>
      <c r="O377" s="494" t="s">
        <v>300</v>
      </c>
      <c r="P377" s="463" t="str">
        <f>IF(LEFT(B377,5)="09735",
    IF(ISNA(VLOOKUP(Tabla13[[#This Row],[Apoyo]],'LM SAP'!A:G,1,FALSE)),
        "No Disponible",
        IF(VLOOKUP(Tabla13[[#This Row],[Apoyo]],'LM SAP'!A:AD,9,FALSE)="RR",
            "Disponible",
            "Firmas SAP"
        )
    ),
    "CONSULTAR"
)</f>
        <v>No Disponible</v>
      </c>
      <c r="Q377" s="460" t="str">
        <f>MID(Tabla13[[#This Row],[Código Indra]],1,13)</f>
        <v>0973545030402</v>
      </c>
      <c r="R377" s="464" t="str">
        <f>IF(ISNA(VLOOKUP(Tabla13[[#This Row],[Código Indra]],#REF!,1,FALSE)),"NO", "SI")</f>
        <v>SI</v>
      </c>
      <c r="S377" s="460" t="str">
        <f>IF(ISNA(VLOOKUP(Tabla13[[#This Row],[Código Indra]],Tabla132[[Código INDRA]:[Nombre]],1,FALSE)),"NO", "SI")</f>
        <v>NO</v>
      </c>
      <c r="T377" s="465"/>
      <c r="U377" s="464" t="s">
        <v>256</v>
      </c>
      <c r="V377" s="464" t="e">
        <f>VLOOKUP(Tabla13[[#This Row],[Apoyo]],'LM SAP'!A:I,9,FALSE)</f>
        <v>#N/A</v>
      </c>
      <c r="X377" s="466">
        <v>0</v>
      </c>
      <c r="Y377" s="464">
        <f>Tabla13[[#This Row],[ID]]</f>
        <v>366</v>
      </c>
    </row>
    <row r="378" spans="1:25" s="464" customFormat="1" ht="24" x14ac:dyDescent="0.25">
      <c r="A378" s="453">
        <v>367</v>
      </c>
      <c r="B378" s="454" t="s">
        <v>783</v>
      </c>
      <c r="C378" s="469" t="s">
        <v>2647</v>
      </c>
      <c r="D378" s="456" t="s">
        <v>106</v>
      </c>
      <c r="E378" s="457" t="s">
        <v>785</v>
      </c>
      <c r="F378" s="458">
        <v>1</v>
      </c>
      <c r="G378" s="543"/>
      <c r="H378" s="460"/>
      <c r="I378" s="460" t="s">
        <v>2641</v>
      </c>
      <c r="J378" s="460"/>
      <c r="K378" s="460" t="s">
        <v>1411</v>
      </c>
      <c r="L378" s="460">
        <v>60005486</v>
      </c>
      <c r="M378" s="461">
        <v>45665</v>
      </c>
      <c r="N378" s="461">
        <v>45306</v>
      </c>
      <c r="O378" s="494" t="s">
        <v>300</v>
      </c>
      <c r="P378" s="463" t="str">
        <f>IF(LEFT(B378,5)="09735",
    IF(ISNA(VLOOKUP(Tabla13[[#This Row],[Apoyo]],'LM SAP'!A:G,1,FALSE)),
        "No Disponible",
        IF(VLOOKUP(Tabla13[[#This Row],[Apoyo]],'LM SAP'!A:AD,9,FALSE)="RR",
            "Disponible",
            "Firmas SAP"
        )
    ),
    "CONSULTAR"
)</f>
        <v>No Disponible</v>
      </c>
      <c r="Q378" s="460" t="str">
        <f>MID(Tabla13[[#This Row],[Código Indra]],1,13)</f>
        <v>0973545030403</v>
      </c>
      <c r="R378" s="464" t="str">
        <f>IF(ISNA(VLOOKUP(Tabla13[[#This Row],[Código Indra]],#REF!,1,FALSE)),"NO", "SI")</f>
        <v>SI</v>
      </c>
      <c r="S378" s="460" t="str">
        <f>IF(ISNA(VLOOKUP(Tabla13[[#This Row],[Código Indra]],Tabla132[[Código INDRA]:[Nombre]],1,FALSE)),"NO", "SI")</f>
        <v>NO</v>
      </c>
      <c r="T378" s="465"/>
      <c r="U378" s="464" t="s">
        <v>256</v>
      </c>
      <c r="V378" s="464" t="e">
        <f>VLOOKUP(Tabla13[[#This Row],[Apoyo]],'LM SAP'!A:I,9,FALSE)</f>
        <v>#N/A</v>
      </c>
      <c r="X378" s="466">
        <v>0</v>
      </c>
      <c r="Y378" s="464">
        <f>Tabla13[[#This Row],[ID]]</f>
        <v>367</v>
      </c>
    </row>
    <row r="379" spans="1:25" s="464" customFormat="1" ht="24" x14ac:dyDescent="0.25">
      <c r="A379" s="453">
        <v>368</v>
      </c>
      <c r="B379" s="454" t="s">
        <v>786</v>
      </c>
      <c r="C379" s="469" t="s">
        <v>2648</v>
      </c>
      <c r="D379" s="456" t="s">
        <v>106</v>
      </c>
      <c r="E379" s="457" t="s">
        <v>788</v>
      </c>
      <c r="F379" s="458">
        <v>1</v>
      </c>
      <c r="G379" s="543"/>
      <c r="H379" s="460"/>
      <c r="I379" s="460" t="s">
        <v>2641</v>
      </c>
      <c r="J379" s="460"/>
      <c r="K379" s="460" t="s">
        <v>1411</v>
      </c>
      <c r="L379" s="460">
        <v>60005487</v>
      </c>
      <c r="M379" s="461">
        <v>45665</v>
      </c>
      <c r="N379" s="461">
        <v>45306</v>
      </c>
      <c r="O379" s="494" t="s">
        <v>300</v>
      </c>
      <c r="P379" s="463" t="str">
        <f>IF(LEFT(B379,5)="09735",
    IF(ISNA(VLOOKUP(Tabla13[[#This Row],[Apoyo]],'LM SAP'!A:G,1,FALSE)),
        "No Disponible",
        IF(VLOOKUP(Tabla13[[#This Row],[Apoyo]],'LM SAP'!A:AD,9,FALSE)="RR",
            "Disponible",
            "Firmas SAP"
        )
    ),
    "CONSULTAR"
)</f>
        <v>No Disponible</v>
      </c>
      <c r="Q379" s="460" t="str">
        <f>MID(Tabla13[[#This Row],[Código Indra]],1,13)</f>
        <v>0973545030404</v>
      </c>
      <c r="R379" s="464" t="str">
        <f>IF(ISNA(VLOOKUP(Tabla13[[#This Row],[Código Indra]],#REF!,1,FALSE)),"NO", "SI")</f>
        <v>SI</v>
      </c>
      <c r="S379" s="460" t="str">
        <f>IF(ISNA(VLOOKUP(Tabla13[[#This Row],[Código Indra]],Tabla132[[Código INDRA]:[Nombre]],1,FALSE)),"NO", "SI")</f>
        <v>NO</v>
      </c>
      <c r="T379" s="465"/>
      <c r="U379" s="464" t="s">
        <v>256</v>
      </c>
      <c r="V379" s="464" t="e">
        <f>VLOOKUP(Tabla13[[#This Row],[Apoyo]],'LM SAP'!A:I,9,FALSE)</f>
        <v>#N/A</v>
      </c>
      <c r="X379" s="466">
        <v>0</v>
      </c>
      <c r="Y379" s="464">
        <f>Tabla13[[#This Row],[ID]]</f>
        <v>368</v>
      </c>
    </row>
    <row r="380" spans="1:25" s="464" customFormat="1" ht="24" x14ac:dyDescent="0.25">
      <c r="A380" s="453">
        <v>369</v>
      </c>
      <c r="B380" s="454" t="s">
        <v>789</v>
      </c>
      <c r="C380" s="469" t="s">
        <v>2649</v>
      </c>
      <c r="D380" s="456" t="s">
        <v>106</v>
      </c>
      <c r="E380" s="457" t="s">
        <v>791</v>
      </c>
      <c r="F380" s="458">
        <v>1</v>
      </c>
      <c r="G380" s="543"/>
      <c r="H380" s="460"/>
      <c r="I380" s="460" t="s">
        <v>2641</v>
      </c>
      <c r="J380" s="460"/>
      <c r="K380" s="460" t="s">
        <v>1411</v>
      </c>
      <c r="L380" s="460">
        <v>60005488</v>
      </c>
      <c r="M380" s="461">
        <v>45665</v>
      </c>
      <c r="N380" s="461">
        <v>45306</v>
      </c>
      <c r="O380" s="494" t="s">
        <v>300</v>
      </c>
      <c r="P380" s="463" t="str">
        <f>IF(LEFT(B380,5)="09735",
    IF(ISNA(VLOOKUP(Tabla13[[#This Row],[Apoyo]],'LM SAP'!A:G,1,FALSE)),
        "No Disponible",
        IF(VLOOKUP(Tabla13[[#This Row],[Apoyo]],'LM SAP'!A:AD,9,FALSE)="RR",
            "Disponible",
            "Firmas SAP"
        )
    ),
    "CONSULTAR"
)</f>
        <v>No Disponible</v>
      </c>
      <c r="Q380" s="460" t="str">
        <f>MID(Tabla13[[#This Row],[Código Indra]],1,13)</f>
        <v>0973545030405</v>
      </c>
      <c r="R380" s="464" t="str">
        <f>IF(ISNA(VLOOKUP(Tabla13[[#This Row],[Código Indra]],#REF!,1,FALSE)),"NO", "SI")</f>
        <v>SI</v>
      </c>
      <c r="S380" s="460" t="str">
        <f>IF(ISNA(VLOOKUP(Tabla13[[#This Row],[Código Indra]],Tabla132[[Código INDRA]:[Nombre]],1,FALSE)),"NO", "SI")</f>
        <v>NO</v>
      </c>
      <c r="T380" s="465"/>
      <c r="U380" s="464" t="s">
        <v>256</v>
      </c>
      <c r="V380" s="464" t="e">
        <f>VLOOKUP(Tabla13[[#This Row],[Apoyo]],'LM SAP'!A:I,9,FALSE)</f>
        <v>#N/A</v>
      </c>
      <c r="X380" s="466">
        <v>0</v>
      </c>
      <c r="Y380" s="464">
        <f>Tabla13[[#This Row],[ID]]</f>
        <v>369</v>
      </c>
    </row>
    <row r="381" spans="1:25" s="464" customFormat="1" ht="24" x14ac:dyDescent="0.25">
      <c r="A381" s="453">
        <v>370</v>
      </c>
      <c r="B381" s="454" t="s">
        <v>792</v>
      </c>
      <c r="C381" s="469" t="s">
        <v>2650</v>
      </c>
      <c r="D381" s="456" t="s">
        <v>106</v>
      </c>
      <c r="E381" s="457" t="s">
        <v>794</v>
      </c>
      <c r="F381" s="458">
        <v>1</v>
      </c>
      <c r="G381" s="543"/>
      <c r="H381" s="460"/>
      <c r="I381" s="460" t="s">
        <v>2641</v>
      </c>
      <c r="J381" s="460"/>
      <c r="K381" s="460" t="s">
        <v>1411</v>
      </c>
      <c r="L381" s="460">
        <v>60005489</v>
      </c>
      <c r="M381" s="461">
        <v>45665</v>
      </c>
      <c r="N381" s="461">
        <v>45306</v>
      </c>
      <c r="O381" s="494" t="s">
        <v>300</v>
      </c>
      <c r="P381" s="463" t="str">
        <f>IF(LEFT(B381,5)="09735",
    IF(ISNA(VLOOKUP(Tabla13[[#This Row],[Apoyo]],'LM SAP'!A:G,1,FALSE)),
        "No Disponible",
        IF(VLOOKUP(Tabla13[[#This Row],[Apoyo]],'LM SAP'!A:AD,9,FALSE)="RR",
            "Disponible",
            "Firmas SAP"
        )
    ),
    "CONSULTAR"
)</f>
        <v>No Disponible</v>
      </c>
      <c r="Q381" s="460" t="str">
        <f>MID(Tabla13[[#This Row],[Código Indra]],1,13)</f>
        <v>0973545030406</v>
      </c>
      <c r="R381" s="464" t="str">
        <f>IF(ISNA(VLOOKUP(Tabla13[[#This Row],[Código Indra]],#REF!,1,FALSE)),"NO", "SI")</f>
        <v>SI</v>
      </c>
      <c r="S381" s="460" t="str">
        <f>IF(ISNA(VLOOKUP(Tabla13[[#This Row],[Código Indra]],Tabla132[[Código INDRA]:[Nombre]],1,FALSE)),"NO", "SI")</f>
        <v>NO</v>
      </c>
      <c r="T381" s="465"/>
      <c r="U381" s="464" t="s">
        <v>256</v>
      </c>
      <c r="V381" s="464" t="e">
        <f>VLOOKUP(Tabla13[[#This Row],[Apoyo]],'LM SAP'!A:I,9,FALSE)</f>
        <v>#N/A</v>
      </c>
      <c r="X381" s="466">
        <v>0</v>
      </c>
      <c r="Y381" s="464">
        <f>Tabla13[[#This Row],[ID]]</f>
        <v>370</v>
      </c>
    </row>
    <row r="382" spans="1:25" s="464" customFormat="1" ht="24" x14ac:dyDescent="0.25">
      <c r="A382" s="453">
        <v>371</v>
      </c>
      <c r="B382" s="454" t="s">
        <v>795</v>
      </c>
      <c r="C382" s="469" t="s">
        <v>2651</v>
      </c>
      <c r="D382" s="456" t="s">
        <v>106</v>
      </c>
      <c r="E382" s="457" t="s">
        <v>797</v>
      </c>
      <c r="F382" s="458">
        <v>1</v>
      </c>
      <c r="G382" s="543"/>
      <c r="H382" s="460"/>
      <c r="I382" s="460" t="s">
        <v>2641</v>
      </c>
      <c r="J382" s="460"/>
      <c r="K382" s="460" t="s">
        <v>1411</v>
      </c>
      <c r="L382" s="460">
        <v>60005490</v>
      </c>
      <c r="M382" s="461">
        <v>45665</v>
      </c>
      <c r="N382" s="461">
        <v>45679</v>
      </c>
      <c r="O382" s="470" t="s">
        <v>2652</v>
      </c>
      <c r="P382" s="463" t="str">
        <f>IF(LEFT(B382,5)="09735",
    IF(ISNA(VLOOKUP(Tabla13[[#This Row],[Apoyo]],'LM SAP'!A:G,1,FALSE)),
        "No Disponible",
        IF(VLOOKUP(Tabla13[[#This Row],[Apoyo]],'LM SAP'!A:AD,9,FALSE)="RR",
            "Disponible",
            "Firmas SAP"
        )
    ),
    "CONSULTAR"
)</f>
        <v>No Disponible</v>
      </c>
      <c r="Q382" s="460" t="str">
        <f>MID(Tabla13[[#This Row],[Código Indra]],1,13)</f>
        <v>0973545030407</v>
      </c>
      <c r="R382" s="464" t="str">
        <f>IF(ISNA(VLOOKUP(Tabla13[[#This Row],[Código Indra]],#REF!,1,FALSE)),"NO", "SI")</f>
        <v>SI</v>
      </c>
      <c r="S382" s="460" t="str">
        <f>IF(ISNA(VLOOKUP(Tabla13[[#This Row],[Código Indra]],Tabla132[[Código INDRA]:[Nombre]],1,FALSE)),"NO", "SI")</f>
        <v>NO</v>
      </c>
      <c r="T382" s="465"/>
      <c r="U382" s="464" t="s">
        <v>256</v>
      </c>
      <c r="V382" s="464" t="e">
        <f>VLOOKUP(Tabla13[[#This Row],[Apoyo]],'LM SAP'!A:I,9,FALSE)</f>
        <v>#N/A</v>
      </c>
      <c r="X382" s="466">
        <v>0</v>
      </c>
      <c r="Y382" s="464">
        <f>Tabla13[[#This Row],[ID]]</f>
        <v>371</v>
      </c>
    </row>
    <row r="383" spans="1:25" s="464" customFormat="1" ht="24" x14ac:dyDescent="0.25">
      <c r="A383" s="453">
        <v>372</v>
      </c>
      <c r="B383" s="454" t="s">
        <v>798</v>
      </c>
      <c r="C383" s="469" t="s">
        <v>2653</v>
      </c>
      <c r="D383" s="456" t="s">
        <v>106</v>
      </c>
      <c r="E383" s="457" t="s">
        <v>800</v>
      </c>
      <c r="F383" s="458">
        <v>1</v>
      </c>
      <c r="G383" s="526"/>
      <c r="H383" s="460"/>
      <c r="I383" s="460" t="s">
        <v>2641</v>
      </c>
      <c r="J383" s="460"/>
      <c r="K383" s="460" t="s">
        <v>1411</v>
      </c>
      <c r="L383" s="460">
        <v>60005491</v>
      </c>
      <c r="M383" s="461">
        <v>45665</v>
      </c>
      <c r="N383" s="461">
        <v>45679</v>
      </c>
      <c r="O383" s="470" t="s">
        <v>2091</v>
      </c>
      <c r="P383" s="463" t="str">
        <f>IF(LEFT(B383,5)="09735",
    IF(ISNA(VLOOKUP(Tabla13[[#This Row],[Apoyo]],'LM SAP'!A:G,1,FALSE)),
        "No Disponible",
        IF(VLOOKUP(Tabla13[[#This Row],[Apoyo]],'LM SAP'!A:AD,9,FALSE)="RR",
            "Disponible",
            "Firmas SAP"
        )
    ),
    "CONSULTAR"
)</f>
        <v>No Disponible</v>
      </c>
      <c r="Q383" s="460" t="str">
        <f>MID(Tabla13[[#This Row],[Código Indra]],1,13)</f>
        <v>0973545031101</v>
      </c>
      <c r="R383" s="464" t="str">
        <f>IF(ISNA(VLOOKUP(Tabla13[[#This Row],[Código Indra]],#REF!,1,FALSE)),"NO", "SI")</f>
        <v>SI</v>
      </c>
      <c r="S383" s="460" t="str">
        <f>IF(ISNA(VLOOKUP(Tabla13[[#This Row],[Código Indra]],Tabla132[[Código INDRA]:[Nombre]],1,FALSE)),"NO", "SI")</f>
        <v>NO</v>
      </c>
      <c r="T383" s="465"/>
      <c r="U383" s="464" t="s">
        <v>256</v>
      </c>
      <c r="V383" s="464" t="e">
        <f>VLOOKUP(Tabla13[[#This Row],[Apoyo]],'LM SAP'!A:I,9,FALSE)</f>
        <v>#N/A</v>
      </c>
      <c r="X383" s="466">
        <v>0</v>
      </c>
      <c r="Y383" s="464">
        <f>Tabla13[[#This Row],[ID]]</f>
        <v>372</v>
      </c>
    </row>
    <row r="384" spans="1:25" s="464" customFormat="1" ht="24" x14ac:dyDescent="0.25">
      <c r="A384" s="453">
        <v>373</v>
      </c>
      <c r="B384" s="454" t="s">
        <v>801</v>
      </c>
      <c r="C384" s="469" t="s">
        <v>2654</v>
      </c>
      <c r="D384" s="456" t="s">
        <v>106</v>
      </c>
      <c r="E384" s="457" t="s">
        <v>803</v>
      </c>
      <c r="F384" s="458">
        <v>1</v>
      </c>
      <c r="G384" s="526"/>
      <c r="H384" s="460"/>
      <c r="I384" s="460" t="s">
        <v>2641</v>
      </c>
      <c r="J384" s="460"/>
      <c r="K384" s="460" t="s">
        <v>1411</v>
      </c>
      <c r="L384" s="460">
        <v>60005492</v>
      </c>
      <c r="M384" s="461">
        <v>45665</v>
      </c>
      <c r="N384" s="461">
        <v>45679</v>
      </c>
      <c r="O384" s="470" t="s">
        <v>2091</v>
      </c>
      <c r="P384" s="463" t="str">
        <f>IF(LEFT(B384,5)="09735",
    IF(ISNA(VLOOKUP(Tabla13[[#This Row],[Apoyo]],'LM SAP'!A:G,1,FALSE)),
        "No Disponible",
        IF(VLOOKUP(Tabla13[[#This Row],[Apoyo]],'LM SAP'!A:AD,9,FALSE)="RR",
            "Disponible",
            "Firmas SAP"
        )
    ),
    "CONSULTAR"
)</f>
        <v>No Disponible</v>
      </c>
      <c r="Q384" s="460" t="str">
        <f>MID(Tabla13[[#This Row],[Código Indra]],1,13)</f>
        <v>0973545031102</v>
      </c>
      <c r="R384" s="464" t="str">
        <f>IF(ISNA(VLOOKUP(Tabla13[[#This Row],[Código Indra]],#REF!,1,FALSE)),"NO", "SI")</f>
        <v>SI</v>
      </c>
      <c r="S384" s="460" t="str">
        <f>IF(ISNA(VLOOKUP(Tabla13[[#This Row],[Código Indra]],Tabla132[[Código INDRA]:[Nombre]],1,FALSE)),"NO", "SI")</f>
        <v>NO</v>
      </c>
      <c r="T384" s="465"/>
      <c r="U384" s="464" t="s">
        <v>256</v>
      </c>
      <c r="V384" s="464" t="e">
        <f>VLOOKUP(Tabla13[[#This Row],[Apoyo]],'LM SAP'!A:I,9,FALSE)</f>
        <v>#N/A</v>
      </c>
      <c r="X384" s="466">
        <v>0</v>
      </c>
      <c r="Y384" s="464">
        <f>Tabla13[[#This Row],[ID]]</f>
        <v>373</v>
      </c>
    </row>
    <row r="385" spans="1:25" s="464" customFormat="1" ht="60" x14ac:dyDescent="0.25">
      <c r="A385" s="453">
        <v>374</v>
      </c>
      <c r="B385" s="480" t="s">
        <v>178</v>
      </c>
      <c r="C385" s="455" t="s">
        <v>179</v>
      </c>
      <c r="D385" s="456"/>
      <c r="E385" s="457" t="s">
        <v>1318</v>
      </c>
      <c r="F385" s="458">
        <v>1</v>
      </c>
      <c r="G385" s="459"/>
      <c r="H385" s="460"/>
      <c r="I385" s="460" t="s">
        <v>276</v>
      </c>
      <c r="J385" s="460"/>
      <c r="K385" s="460" t="s">
        <v>1411</v>
      </c>
      <c r="L385" s="460">
        <v>60005549</v>
      </c>
      <c r="M385" s="461">
        <v>45678</v>
      </c>
      <c r="N385" s="461">
        <v>45694</v>
      </c>
      <c r="O385" s="472" t="s">
        <v>2655</v>
      </c>
      <c r="P385" s="463" t="str">
        <f>IF(LEFT(B385,5)="09735",
    IF(ISNA(VLOOKUP(Tabla13[[#This Row],[Apoyo]],'LM SAP'!A:G,1,FALSE)),
        "No Disponible",
        IF(VLOOKUP(Tabla13[[#This Row],[Apoyo]],'LM SAP'!A:AD,9,FALSE)="RR",
            "Disponible",
            "Firmas SAP"
        )
    ),
    "CONSULTAR"
)</f>
        <v>No Disponible</v>
      </c>
      <c r="Q385" s="460" t="str">
        <f>MID(Tabla13[[#This Row],[Código Indra]],1,13)</f>
        <v>0973524410000</v>
      </c>
      <c r="R385" s="464" t="str">
        <f>IF(ISNA(VLOOKUP(Tabla13[[#This Row],[Código Indra]],#REF!,1,FALSE)),"NO", "SI")</f>
        <v>SI</v>
      </c>
      <c r="S385" s="460" t="str">
        <f>IF(ISNA(VLOOKUP(Tabla13[[#This Row],[Código Indra]],Tabla132[[Código INDRA]:[Nombre]],1,FALSE)),"NO", "SI")</f>
        <v>SI</v>
      </c>
      <c r="T385" s="465"/>
      <c r="U385" s="464" t="s">
        <v>227</v>
      </c>
      <c r="V385" s="464" t="e">
        <f>VLOOKUP(Tabla13[[#This Row],[Apoyo]],'LM SAP'!A:I,9,FALSE)</f>
        <v>#N/A</v>
      </c>
      <c r="X385" s="466">
        <v>0</v>
      </c>
      <c r="Y385" s="464">
        <f>Tabla13[[#This Row],[ID]]</f>
        <v>374</v>
      </c>
    </row>
    <row r="386" spans="1:25" s="464" customFormat="1" ht="24" x14ac:dyDescent="0.25">
      <c r="A386" s="453">
        <v>375</v>
      </c>
      <c r="B386" s="480" t="s">
        <v>905</v>
      </c>
      <c r="C386" s="469" t="s">
        <v>1875</v>
      </c>
      <c r="D386" s="456" t="s">
        <v>179</v>
      </c>
      <c r="E386" s="457" t="s">
        <v>907</v>
      </c>
      <c r="F386" s="458">
        <v>1</v>
      </c>
      <c r="G386" s="459"/>
      <c r="H386" s="460" t="s">
        <v>2000</v>
      </c>
      <c r="I386" s="460" t="s">
        <v>276</v>
      </c>
      <c r="J386" s="460"/>
      <c r="K386" s="460" t="s">
        <v>1411</v>
      </c>
      <c r="L386" s="460">
        <v>60005510</v>
      </c>
      <c r="M386" s="461">
        <v>45665</v>
      </c>
      <c r="N386" s="461">
        <v>45674</v>
      </c>
      <c r="O386" s="509" t="s">
        <v>2656</v>
      </c>
      <c r="P386" s="463" t="str">
        <f>IF(LEFT(B386,5)="09735",
    IF(ISNA(VLOOKUP(Tabla13[[#This Row],[Apoyo]],'LM SAP'!A:G,1,FALSE)),
        "No Disponible",
        IF(VLOOKUP(Tabla13[[#This Row],[Apoyo]],'LM SAP'!A:AD,9,FALSE)="RR",
            "Disponible",
            "Firmas SAP"
        )
    ),
    "CONSULTAR"
)</f>
        <v>Disponible</v>
      </c>
      <c r="Q386" s="460" t="str">
        <f>MID(Tabla13[[#This Row],[Código Indra]],1,13)</f>
        <v>0973545036000</v>
      </c>
      <c r="R386" s="464" t="str">
        <f>IF(ISNA(VLOOKUP(Tabla13[[#This Row],[Código Indra]],#REF!,1,FALSE)),"NO", "SI")</f>
        <v>SI</v>
      </c>
      <c r="S386" s="460" t="str">
        <f>IF(ISNA(VLOOKUP(Tabla13[[#This Row],[Código Indra]],Tabla132[[Código INDRA]:[Nombre]],1,FALSE)),"NO", "SI")</f>
        <v>SI</v>
      </c>
      <c r="T386" s="465"/>
      <c r="U386" s="464" t="s">
        <v>256</v>
      </c>
      <c r="V386" s="464" t="str">
        <f>VLOOKUP(Tabla13[[#This Row],[Apoyo]],'LM SAP'!A:I,9,FALSE)</f>
        <v>RR</v>
      </c>
      <c r="X386" s="466">
        <v>0</v>
      </c>
      <c r="Y386" s="464">
        <f>Tabla13[[#This Row],[ID]]</f>
        <v>375</v>
      </c>
    </row>
    <row r="387" spans="1:25" s="464" customFormat="1" ht="24" x14ac:dyDescent="0.25">
      <c r="A387" s="453">
        <v>376</v>
      </c>
      <c r="B387" s="454" t="s">
        <v>908</v>
      </c>
      <c r="C387" s="469" t="s">
        <v>2657</v>
      </c>
      <c r="D387" s="456" t="s">
        <v>179</v>
      </c>
      <c r="E387" s="457" t="s">
        <v>910</v>
      </c>
      <c r="F387" s="458">
        <v>1</v>
      </c>
      <c r="G387" s="459"/>
      <c r="H387" s="460"/>
      <c r="I387" s="460" t="s">
        <v>276</v>
      </c>
      <c r="J387" s="460"/>
      <c r="K387" s="460" t="s">
        <v>1411</v>
      </c>
      <c r="L387" s="460">
        <v>60005511</v>
      </c>
      <c r="M387" s="461">
        <v>45665</v>
      </c>
      <c r="N387" s="461">
        <v>45674</v>
      </c>
      <c r="O387" s="470" t="s">
        <v>300</v>
      </c>
      <c r="P387" s="463" t="str">
        <f>IF(LEFT(B387,5)="09735",
    IF(ISNA(VLOOKUP(Tabla13[[#This Row],[Apoyo]],'LM SAP'!A:G,1,FALSE)),
        "No Disponible",
        IF(VLOOKUP(Tabla13[[#This Row],[Apoyo]],'LM SAP'!A:AD,9,FALSE)="RR",
            "Disponible",
            "Firmas SAP"
        )
    ),
    "CONSULTAR"
)</f>
        <v>No Disponible</v>
      </c>
      <c r="Q387" s="460" t="str">
        <f>MID(Tabla13[[#This Row],[Código Indra]],1,13)</f>
        <v>0973545036100</v>
      </c>
      <c r="R387" s="464" t="str">
        <f>IF(ISNA(VLOOKUP(Tabla13[[#This Row],[Código Indra]],#REF!,1,FALSE)),"NO", "SI")</f>
        <v>SI</v>
      </c>
      <c r="S387" s="460" t="str">
        <f>IF(ISNA(VLOOKUP(Tabla13[[#This Row],[Código Indra]],Tabla132[[Código INDRA]:[Nombre]],1,FALSE)),"NO", "SI")</f>
        <v>NO</v>
      </c>
      <c r="T387" s="465"/>
      <c r="U387" s="464" t="s">
        <v>256</v>
      </c>
      <c r="V387" s="464" t="e">
        <f>VLOOKUP(Tabla13[[#This Row],[Apoyo]],'LM SAP'!A:I,9,FALSE)</f>
        <v>#N/A</v>
      </c>
      <c r="X387" s="466">
        <v>0</v>
      </c>
      <c r="Y387" s="464">
        <f>Tabla13[[#This Row],[ID]]</f>
        <v>376</v>
      </c>
    </row>
    <row r="388" spans="1:25" s="464" customFormat="1" ht="24" x14ac:dyDescent="0.25">
      <c r="A388" s="453">
        <v>377</v>
      </c>
      <c r="B388" s="454" t="s">
        <v>911</v>
      </c>
      <c r="C388" s="469" t="s">
        <v>2658</v>
      </c>
      <c r="D388" s="456" t="s">
        <v>179</v>
      </c>
      <c r="E388" s="457" t="s">
        <v>913</v>
      </c>
      <c r="F388" s="458">
        <v>1</v>
      </c>
      <c r="G388" s="459"/>
      <c r="H388" s="460"/>
      <c r="I388" s="460" t="s">
        <v>276</v>
      </c>
      <c r="J388" s="460"/>
      <c r="K388" s="460" t="s">
        <v>1411</v>
      </c>
      <c r="L388" s="460">
        <v>60005512</v>
      </c>
      <c r="M388" s="461">
        <v>45665</v>
      </c>
      <c r="N388" s="461">
        <v>45674</v>
      </c>
      <c r="O388" s="494" t="s">
        <v>2659</v>
      </c>
      <c r="P388" s="463" t="str">
        <f>IF(LEFT(B388,5)="09735",
    IF(ISNA(VLOOKUP(Tabla13[[#This Row],[Apoyo]],'LM SAP'!A:G,1,FALSE)),
        "No Disponible",
        IF(VLOOKUP(Tabla13[[#This Row],[Apoyo]],'LM SAP'!A:AD,9,FALSE)="RR",
            "Disponible",
            "Firmas SAP"
        )
    ),
    "CONSULTAR"
)</f>
        <v>No Disponible</v>
      </c>
      <c r="Q388" s="460" t="str">
        <f>MID(Tabla13[[#This Row],[Código Indra]],1,13)</f>
        <v>0973545036200</v>
      </c>
      <c r="R388" s="464" t="str">
        <f>IF(ISNA(VLOOKUP(Tabla13[[#This Row],[Código Indra]],#REF!,1,FALSE)),"NO", "SI")</f>
        <v>SI</v>
      </c>
      <c r="S388" s="460" t="str">
        <f>IF(ISNA(VLOOKUP(Tabla13[[#This Row],[Código Indra]],Tabla132[[Código INDRA]:[Nombre]],1,FALSE)),"NO", "SI")</f>
        <v>NO</v>
      </c>
      <c r="T388" s="465"/>
      <c r="U388" s="464" t="s">
        <v>256</v>
      </c>
      <c r="V388" s="464" t="e">
        <f>VLOOKUP(Tabla13[[#This Row],[Apoyo]],'LM SAP'!A:I,9,FALSE)</f>
        <v>#N/A</v>
      </c>
      <c r="X388" s="466">
        <v>0</v>
      </c>
      <c r="Y388" s="464">
        <f>Tabla13[[#This Row],[ID]]</f>
        <v>377</v>
      </c>
    </row>
    <row r="389" spans="1:25" s="464" customFormat="1" ht="36" x14ac:dyDescent="0.25">
      <c r="A389" s="453">
        <v>378</v>
      </c>
      <c r="B389" s="496" t="s">
        <v>172</v>
      </c>
      <c r="C389" s="455" t="s">
        <v>173</v>
      </c>
      <c r="D389" s="456"/>
      <c r="E389" s="457" t="s">
        <v>2660</v>
      </c>
      <c r="F389" s="458">
        <v>1</v>
      </c>
      <c r="G389" s="459"/>
      <c r="H389" s="460" t="s">
        <v>2000</v>
      </c>
      <c r="I389" s="460" t="s">
        <v>251</v>
      </c>
      <c r="J389" s="460"/>
      <c r="K389" s="460" t="s">
        <v>220</v>
      </c>
      <c r="L389" s="460">
        <v>60006149</v>
      </c>
      <c r="M389" s="461">
        <v>45715</v>
      </c>
      <c r="N389" s="461">
        <v>45715</v>
      </c>
      <c r="O389" s="545" t="s">
        <v>2661</v>
      </c>
      <c r="P389" s="463" t="str">
        <f>IF(LEFT(B389,5)="09735",
    IF(ISNA(VLOOKUP(Tabla13[[#This Row],[Apoyo]],'LM SAP'!A:G,1,FALSE)),
        "No Disponible",
        IF(VLOOKUP(Tabla13[[#This Row],[Apoyo]],'LM SAP'!A:AD,9,FALSE)="RR",
            "Disponible",
            "Firmas SAP"
        )
    ),
    "CONSULTAR"
)</f>
        <v>Disponible</v>
      </c>
      <c r="Q389" s="460" t="str">
        <f>MID(Tabla13[[#This Row],[Código Indra]],1,13)</f>
        <v>0973524420000</v>
      </c>
      <c r="R389" s="464" t="str">
        <f>IF(ISNA(VLOOKUP(Tabla13[[#This Row],[Código Indra]],#REF!,1,FALSE)),"NO", "SI")</f>
        <v>SI</v>
      </c>
      <c r="S389" s="460" t="str">
        <f>IF(ISNA(VLOOKUP(Tabla13[[#This Row],[Código Indra]],Tabla132[[Código INDRA]:[Nombre]],1,FALSE)),"NO", "SI")</f>
        <v>SI</v>
      </c>
      <c r="T389" s="465"/>
      <c r="U389" s="464" t="s">
        <v>227</v>
      </c>
      <c r="V389" s="464" t="str">
        <f>VLOOKUP(Tabla13[[#This Row],[Apoyo]],'LM SAP'!A:I,9,FALSE)</f>
        <v>RR</v>
      </c>
      <c r="X389" s="466">
        <v>0</v>
      </c>
      <c r="Y389" s="464">
        <f>Tabla13[[#This Row],[ID]]</f>
        <v>378</v>
      </c>
    </row>
    <row r="390" spans="1:25" s="464" customFormat="1" ht="72" x14ac:dyDescent="0.25">
      <c r="A390" s="453">
        <v>379</v>
      </c>
      <c r="B390" s="480" t="s">
        <v>1317</v>
      </c>
      <c r="C390" s="469" t="s">
        <v>2662</v>
      </c>
      <c r="D390" s="469" t="s">
        <v>170</v>
      </c>
      <c r="E390" s="457" t="s">
        <v>2663</v>
      </c>
      <c r="F390" s="458">
        <v>1</v>
      </c>
      <c r="G390" s="543"/>
      <c r="H390" s="460" t="s">
        <v>2000</v>
      </c>
      <c r="I390" s="460" t="s">
        <v>251</v>
      </c>
      <c r="J390" s="460"/>
      <c r="K390" s="460" t="s">
        <v>220</v>
      </c>
      <c r="L390" s="460">
        <v>60005643</v>
      </c>
      <c r="M390" s="461">
        <v>45681</v>
      </c>
      <c r="N390" s="461">
        <v>45722</v>
      </c>
      <c r="O390" s="467" t="s">
        <v>2664</v>
      </c>
      <c r="P390" s="463" t="str">
        <f>IF(LEFT(B390,5)="09735",
    IF(ISNA(VLOOKUP(Tabla13[[#This Row],[Apoyo]],'LM SAP'!A:G,1,FALSE)),
        "No Disponible",
        IF(VLOOKUP(Tabla13[[#This Row],[Apoyo]],'LM SAP'!A:AD,9,FALSE)="RR",
            "Disponible",
            "Firmas SAP"
        )
    ),
    "CONSULTAR"
)</f>
        <v>No Disponible</v>
      </c>
      <c r="Q390" s="460" t="str">
        <f>MID(Tabla13[[#This Row],[Código Indra]],1,13)</f>
        <v>0973545037000</v>
      </c>
      <c r="R390" s="464" t="str">
        <f>IF(ISNA(VLOOKUP(Tabla13[[#This Row],[Código Indra]],#REF!,1,FALSE)),"NO", "SI")</f>
        <v>SI</v>
      </c>
      <c r="S390" s="460" t="str">
        <f>IF(ISNA(VLOOKUP(Tabla13[[#This Row],[Código Indra]],Tabla132[[Código INDRA]:[Nombre]],1,FALSE)),"NO", "SI")</f>
        <v>NO</v>
      </c>
      <c r="T390" s="465"/>
      <c r="U390" s="464" t="s">
        <v>227</v>
      </c>
      <c r="V390" s="464" t="e">
        <f>VLOOKUP(Tabla13[[#This Row],[Apoyo]],'LM SAP'!A:I,9,FALSE)</f>
        <v>#N/A</v>
      </c>
      <c r="X390" s="466">
        <v>0</v>
      </c>
      <c r="Y390" s="464">
        <f>Tabla13[[#This Row],[ID]]</f>
        <v>379</v>
      </c>
    </row>
    <row r="391" spans="1:25" s="464" customFormat="1" ht="24" x14ac:dyDescent="0.25">
      <c r="A391" s="453">
        <v>380</v>
      </c>
      <c r="B391" s="483" t="s">
        <v>2665</v>
      </c>
      <c r="C391" s="474" t="s">
        <v>2666</v>
      </c>
      <c r="D391" s="474" t="s">
        <v>2667</v>
      </c>
      <c r="E391" s="485" t="s">
        <v>2668</v>
      </c>
      <c r="F391" s="486">
        <v>1</v>
      </c>
      <c r="G391" s="487"/>
      <c r="H391" s="488"/>
      <c r="I391" s="488" t="s">
        <v>251</v>
      </c>
      <c r="J391" s="488"/>
      <c r="K391" s="488" t="s">
        <v>1411</v>
      </c>
      <c r="L391" s="488">
        <v>60005433</v>
      </c>
      <c r="M391" s="489">
        <v>45643</v>
      </c>
      <c r="N391" s="489">
        <v>45679</v>
      </c>
      <c r="O391" s="546" t="s">
        <v>2091</v>
      </c>
      <c r="P391" s="490" t="str">
        <f>IF(LEFT(B391,5)="09735",
    IF(ISNA(VLOOKUP(Tabla13[[#This Row],[Apoyo]],'LM SAP'!A:G,1,FALSE)),
        "No Disponible",
        IF(VLOOKUP(Tabla13[[#This Row],[Apoyo]],'LM SAP'!A:AD,9,FALSE)="RR",
            "Disponible",
            "Firmas SAP"
        )
    ),
    "CONSULTAR"
)</f>
        <v>No Disponible</v>
      </c>
      <c r="Q391" s="488" t="str">
        <f>MID(Tabla13[[#This Row],[Código Indra]],1,13)</f>
        <v>0973545037200</v>
      </c>
      <c r="R391" s="479" t="str">
        <f>IF(ISNA(VLOOKUP(Tabla13[[#This Row],[Código Indra]],#REF!,1,FALSE)),"NO", "SI")</f>
        <v>SI</v>
      </c>
      <c r="S391" s="488" t="str">
        <f>IF(ISNA(VLOOKUP(Tabla13[[#This Row],[Código Indra]],Tabla132[[Código INDRA]:[Nombre]],1,FALSE)),"NO", "SI")</f>
        <v>NO</v>
      </c>
      <c r="T391" s="491"/>
      <c r="U391" s="479" t="s">
        <v>256</v>
      </c>
      <c r="V391" s="479" t="e">
        <f>VLOOKUP(Tabla13[[#This Row],[Apoyo]],'LM SAP'!A:I,9,FALSE)</f>
        <v>#N/A</v>
      </c>
      <c r="W391" s="479"/>
      <c r="X391" s="492">
        <v>0</v>
      </c>
      <c r="Y391" s="479">
        <f>Tabla13[[#This Row],[ID]]</f>
        <v>380</v>
      </c>
    </row>
    <row r="392" spans="1:25" s="464" customFormat="1" ht="24" x14ac:dyDescent="0.25">
      <c r="A392" s="453">
        <v>381</v>
      </c>
      <c r="B392" s="483" t="s">
        <v>2669</v>
      </c>
      <c r="C392" s="474" t="s">
        <v>2670</v>
      </c>
      <c r="D392" s="474" t="s">
        <v>2667</v>
      </c>
      <c r="E392" s="485" t="s">
        <v>2671</v>
      </c>
      <c r="F392" s="486">
        <v>1</v>
      </c>
      <c r="G392" s="487"/>
      <c r="H392" s="488"/>
      <c r="I392" s="488" t="s">
        <v>251</v>
      </c>
      <c r="J392" s="488"/>
      <c r="K392" s="488" t="s">
        <v>1411</v>
      </c>
      <c r="L392" s="488">
        <v>60005434</v>
      </c>
      <c r="M392" s="489">
        <v>45643</v>
      </c>
      <c r="N392" s="489">
        <v>45679</v>
      </c>
      <c r="O392" s="546" t="s">
        <v>2091</v>
      </c>
      <c r="P392" s="490" t="str">
        <f>IF(LEFT(B392,5)="09735",
    IF(ISNA(VLOOKUP(Tabla13[[#This Row],[Apoyo]],'LM SAP'!A:G,1,FALSE)),
        "No Disponible",
        IF(VLOOKUP(Tabla13[[#This Row],[Apoyo]],'LM SAP'!A:AD,9,FALSE)="RR",
            "Disponible",
            "Firmas SAP"
        )
    ),
    "CONSULTAR"
)</f>
        <v>No Disponible</v>
      </c>
      <c r="Q392" s="488" t="str">
        <f>MID(Tabla13[[#This Row],[Código Indra]],1,13)</f>
        <v>0973545037300</v>
      </c>
      <c r="R392" s="479" t="str">
        <f>IF(ISNA(VLOOKUP(Tabla13[[#This Row],[Código Indra]],#REF!,1,FALSE)),"NO", "SI")</f>
        <v>SI</v>
      </c>
      <c r="S392" s="488" t="str">
        <f>IF(ISNA(VLOOKUP(Tabla13[[#This Row],[Código Indra]],Tabla132[[Código INDRA]:[Nombre]],1,FALSE)),"NO", "SI")</f>
        <v>NO</v>
      </c>
      <c r="T392" s="491"/>
      <c r="U392" s="479" t="s">
        <v>256</v>
      </c>
      <c r="V392" s="479" t="e">
        <f>VLOOKUP(Tabla13[[#This Row],[Apoyo]],'LM SAP'!A:I,9,FALSE)</f>
        <v>#N/A</v>
      </c>
      <c r="W392" s="479"/>
      <c r="X392" s="492">
        <v>0</v>
      </c>
      <c r="Y392" s="479">
        <f>Tabla13[[#This Row],[ID]]</f>
        <v>381</v>
      </c>
    </row>
    <row r="393" spans="1:25" s="464" customFormat="1" ht="24" x14ac:dyDescent="0.25">
      <c r="A393" s="453">
        <v>382</v>
      </c>
      <c r="B393" s="480" t="s">
        <v>1878</v>
      </c>
      <c r="C393" s="469" t="s">
        <v>2672</v>
      </c>
      <c r="D393" s="469" t="s">
        <v>173</v>
      </c>
      <c r="E393" s="457" t="s">
        <v>2673</v>
      </c>
      <c r="F393" s="458">
        <v>1</v>
      </c>
      <c r="G393" s="543"/>
      <c r="H393" s="460"/>
      <c r="I393" s="460" t="s">
        <v>251</v>
      </c>
      <c r="J393" s="460"/>
      <c r="K393" s="460" t="s">
        <v>1411</v>
      </c>
      <c r="L393" s="460">
        <v>60005644</v>
      </c>
      <c r="M393" s="461">
        <v>45681</v>
      </c>
      <c r="N393" s="461">
        <v>45686</v>
      </c>
      <c r="O393" s="470" t="s">
        <v>2674</v>
      </c>
      <c r="P393" s="463" t="str">
        <f>IF(LEFT(B393,5)="09735",
    IF(ISNA(VLOOKUP(Tabla13[[#This Row],[Apoyo]],'LM SAP'!A:G,1,FALSE)),
        "No Disponible",
        IF(VLOOKUP(Tabla13[[#This Row],[Apoyo]],'LM SAP'!A:AD,9,FALSE)="RR",
            "Disponible",
            "Firmas SAP"
        )
    ),
    "CONSULTAR"
)</f>
        <v>No Disponible</v>
      </c>
      <c r="Q393" s="460" t="str">
        <f>MID(Tabla13[[#This Row],[Código Indra]],1,13)</f>
        <v>0973545037400</v>
      </c>
      <c r="R393" s="464" t="str">
        <f>IF(ISNA(VLOOKUP(Tabla13[[#This Row],[Código Indra]],#REF!,1,FALSE)),"NO", "SI")</f>
        <v>SI</v>
      </c>
      <c r="S393" s="460" t="str">
        <f>IF(ISNA(VLOOKUP(Tabla13[[#This Row],[Código Indra]],Tabla132[[Código INDRA]:[Nombre]],1,FALSE)),"NO", "SI")</f>
        <v>SI</v>
      </c>
      <c r="T393" s="465"/>
      <c r="U393" s="464" t="s">
        <v>256</v>
      </c>
      <c r="V393" s="464" t="e">
        <f>VLOOKUP(Tabla13[[#This Row],[Apoyo]],'LM SAP'!A:I,9,FALSE)</f>
        <v>#N/A</v>
      </c>
      <c r="X393" s="466">
        <v>0</v>
      </c>
      <c r="Y393" s="464">
        <f>Tabla13[[#This Row],[ID]]</f>
        <v>382</v>
      </c>
    </row>
    <row r="394" spans="1:25" s="464" customFormat="1" ht="24" x14ac:dyDescent="0.25">
      <c r="A394" s="453">
        <v>383</v>
      </c>
      <c r="B394" s="454" t="s">
        <v>1881</v>
      </c>
      <c r="C394" s="469" t="s">
        <v>2675</v>
      </c>
      <c r="D394" s="469" t="s">
        <v>173</v>
      </c>
      <c r="E394" s="457" t="s">
        <v>2676</v>
      </c>
      <c r="F394" s="458">
        <v>1</v>
      </c>
      <c r="G394" s="543"/>
      <c r="H394" s="460"/>
      <c r="I394" s="460" t="s">
        <v>251</v>
      </c>
      <c r="J394" s="460"/>
      <c r="K394" s="460" t="s">
        <v>1411</v>
      </c>
      <c r="L394" s="460">
        <v>60005645</v>
      </c>
      <c r="M394" s="461">
        <v>45681</v>
      </c>
      <c r="N394" s="461">
        <v>45686</v>
      </c>
      <c r="O394" s="470"/>
      <c r="P394" s="463" t="str">
        <f>IF(LEFT(B394,5)="09735",
    IF(ISNA(VLOOKUP(Tabla13[[#This Row],[Apoyo]],'LM SAP'!A:G,1,FALSE)),
        "No Disponible",
        IF(VLOOKUP(Tabla13[[#This Row],[Apoyo]],'LM SAP'!A:AD,9,FALSE)="RR",
            "Disponible",
            "Firmas SAP"
        )
    ),
    "CONSULTAR"
)</f>
        <v>No Disponible</v>
      </c>
      <c r="Q394" s="460" t="str">
        <f>MID(Tabla13[[#This Row],[Código Indra]],1,13)</f>
        <v>0973545037500</v>
      </c>
      <c r="R394" s="464" t="str">
        <f>IF(ISNA(VLOOKUP(Tabla13[[#This Row],[Código Indra]],#REF!,1,FALSE)),"NO", "SI")</f>
        <v>SI</v>
      </c>
      <c r="S394" s="460" t="str">
        <f>IF(ISNA(VLOOKUP(Tabla13[[#This Row],[Código Indra]],Tabla132[[Código INDRA]:[Nombre]],1,FALSE)),"NO", "SI")</f>
        <v>SI</v>
      </c>
      <c r="T394" s="465"/>
      <c r="U394" s="464" t="s">
        <v>256</v>
      </c>
      <c r="V394" s="464" t="e">
        <f>VLOOKUP(Tabla13[[#This Row],[Apoyo]],'LM SAP'!A:I,9,FALSE)</f>
        <v>#N/A</v>
      </c>
      <c r="X394" s="466">
        <v>0</v>
      </c>
      <c r="Y394" s="464">
        <f>Tabla13[[#This Row],[ID]]</f>
        <v>383</v>
      </c>
    </row>
    <row r="395" spans="1:25" s="464" customFormat="1" ht="24" x14ac:dyDescent="0.25">
      <c r="A395" s="453">
        <v>384</v>
      </c>
      <c r="B395" s="480" t="s">
        <v>2677</v>
      </c>
      <c r="C395" s="469" t="s">
        <v>2678</v>
      </c>
      <c r="D395" s="469" t="s">
        <v>2679</v>
      </c>
      <c r="E395" s="457" t="s">
        <v>2680</v>
      </c>
      <c r="F395" s="458">
        <v>1</v>
      </c>
      <c r="G395" s="459" t="s">
        <v>260</v>
      </c>
      <c r="H395" s="460"/>
      <c r="I395" s="460" t="s">
        <v>251</v>
      </c>
      <c r="J395" s="460"/>
      <c r="K395" s="460" t="s">
        <v>1411</v>
      </c>
      <c r="L395" s="460">
        <v>60007485</v>
      </c>
      <c r="M395" s="461">
        <v>45909</v>
      </c>
      <c r="N395" s="547">
        <v>45918</v>
      </c>
      <c r="O395" s="470" t="s">
        <v>2091</v>
      </c>
      <c r="P395" s="463" t="str">
        <f>IF(LEFT(B395,5)="09735",
    IF(ISNA(VLOOKUP(Tabla13[[#This Row],[Apoyo]],'LM SAP'!A:G,1,FALSE)),
        "No Disponible",
        IF(VLOOKUP(Tabla13[[#This Row],[Apoyo]],'LM SAP'!A:AD,9,FALSE)="RR",
            "Disponible",
            "Firmas SAP"
        )
    ),
    "CONSULTAR"
)</f>
        <v>No Disponible</v>
      </c>
      <c r="Q395" s="460" t="str">
        <f>MID(Tabla13[[#This Row],[Código Indra]],1,13)</f>
        <v>0973545038000</v>
      </c>
      <c r="R395" s="464" t="str">
        <f>IF(ISNA(VLOOKUP(Tabla13[[#This Row],[Código Indra]],#REF!,1,FALSE)),"NO", "SI")</f>
        <v>SI</v>
      </c>
      <c r="S395" s="460" t="str">
        <f>IF(ISNA(VLOOKUP(Tabla13[[#This Row],[Código Indra]],Tabla132[[Código INDRA]:[Nombre]],1,FALSE)),"NO", "SI")</f>
        <v>NO</v>
      </c>
      <c r="T395" s="465"/>
      <c r="U395" s="464" t="s">
        <v>256</v>
      </c>
      <c r="V395" s="464" t="e">
        <f>VLOOKUP(Tabla13[[#This Row],[Apoyo]],'LM SAP'!A:I,9,FALSE)</f>
        <v>#N/A</v>
      </c>
      <c r="X395" s="466">
        <v>0</v>
      </c>
      <c r="Y395" s="464">
        <f>Tabla13[[#This Row],[ID]]</f>
        <v>384</v>
      </c>
    </row>
    <row r="396" spans="1:25" s="464" customFormat="1" ht="24" x14ac:dyDescent="0.25">
      <c r="A396" s="453">
        <v>385</v>
      </c>
      <c r="B396" s="496" t="s">
        <v>95</v>
      </c>
      <c r="C396" s="455" t="s">
        <v>96</v>
      </c>
      <c r="D396" s="456"/>
      <c r="E396" s="457" t="s">
        <v>1314</v>
      </c>
      <c r="F396" s="458">
        <v>1</v>
      </c>
      <c r="G396" s="459"/>
      <c r="H396" s="460"/>
      <c r="I396" s="460" t="s">
        <v>2011</v>
      </c>
      <c r="J396" s="460"/>
      <c r="K396" s="460" t="s">
        <v>1411</v>
      </c>
      <c r="L396" s="460">
        <v>60005513</v>
      </c>
      <c r="M396" s="461">
        <v>45665</v>
      </c>
      <c r="N396" s="461">
        <v>45673</v>
      </c>
      <c r="O396" s="467" t="s">
        <v>2681</v>
      </c>
      <c r="P396" s="463" t="str">
        <f>IF(LEFT(B396,5)="09735",
    IF(ISNA(VLOOKUP(Tabla13[[#This Row],[Apoyo]],'LM SAP'!A:G,1,FALSE)),
        "No Disponible",
        IF(VLOOKUP(Tabla13[[#This Row],[Apoyo]],'LM SAP'!A:AD,9,FALSE)="RR",
            "Disponible",
            "Firmas SAP"
        )
    ),
    "CONSULTAR"
)</f>
        <v>No Disponible</v>
      </c>
      <c r="Q396" s="460" t="str">
        <f>MID(Tabla13[[#This Row],[Código Indra]],1,13)</f>
        <v>0973524212100</v>
      </c>
      <c r="R396" s="464" t="str">
        <f>IF(ISNA(VLOOKUP(Tabla13[[#This Row],[Código Indra]],#REF!,1,FALSE)),"NO", "SI")</f>
        <v>SI</v>
      </c>
      <c r="S396" s="460" t="str">
        <f>IF(ISNA(VLOOKUP(Tabla13[[#This Row],[Código Indra]],Tabla132[[Código INDRA]:[Nombre]],1,FALSE)),"NO", "SI")</f>
        <v>SI</v>
      </c>
      <c r="T396" s="465"/>
      <c r="U396" s="464" t="s">
        <v>227</v>
      </c>
      <c r="V396" s="464" t="e">
        <f>VLOOKUP(Tabla13[[#This Row],[Apoyo]],'LM SAP'!A:I,9,FALSE)</f>
        <v>#N/A</v>
      </c>
      <c r="X396" s="466">
        <v>0</v>
      </c>
      <c r="Y396" s="464">
        <f>Tabla13[[#This Row],[ID]]</f>
        <v>385</v>
      </c>
    </row>
    <row r="397" spans="1:25" s="464" customFormat="1" ht="24" x14ac:dyDescent="0.25">
      <c r="A397" s="453">
        <v>386</v>
      </c>
      <c r="B397" s="454" t="s">
        <v>804</v>
      </c>
      <c r="C397" s="469" t="s">
        <v>2682</v>
      </c>
      <c r="D397" s="456" t="s">
        <v>96</v>
      </c>
      <c r="E397" s="457" t="s">
        <v>806</v>
      </c>
      <c r="F397" s="458">
        <v>1</v>
      </c>
      <c r="G397" s="459"/>
      <c r="H397" s="460"/>
      <c r="I397" s="460" t="s">
        <v>2011</v>
      </c>
      <c r="J397" s="460"/>
      <c r="K397" s="460" t="s">
        <v>1411</v>
      </c>
      <c r="L397" s="460">
        <v>60004728</v>
      </c>
      <c r="M397" s="461">
        <v>45595</v>
      </c>
      <c r="N397" s="461">
        <v>45635</v>
      </c>
      <c r="O397" s="470" t="s">
        <v>281</v>
      </c>
      <c r="P397" s="463" t="str">
        <f>IF(LEFT(B397,5)="09735",
    IF(ISNA(VLOOKUP(Tabla13[[#This Row],[Apoyo]],'LM SAP'!A:G,1,FALSE)),
        "No Disponible",
        IF(VLOOKUP(Tabla13[[#This Row],[Apoyo]],'LM SAP'!A:AD,9,FALSE)="RR",
            "Disponible",
            "Firmas SAP"
        )
    ),
    "CONSULTAR"
)</f>
        <v>No Disponible</v>
      </c>
      <c r="Q397" s="460" t="str">
        <f>MID(Tabla13[[#This Row],[Código Indra]],1,13)</f>
        <v>0973545040000</v>
      </c>
      <c r="R397" s="464" t="str">
        <f>IF(ISNA(VLOOKUP(Tabla13[[#This Row],[Código Indra]],#REF!,1,FALSE)),"NO", "SI")</f>
        <v>SI</v>
      </c>
      <c r="S397" s="460" t="str">
        <f>IF(ISNA(VLOOKUP(Tabla13[[#This Row],[Código Indra]],Tabla132[[Código INDRA]:[Nombre]],1,FALSE)),"NO", "SI")</f>
        <v>NO</v>
      </c>
      <c r="T397" s="465" t="s">
        <v>2005</v>
      </c>
      <c r="U397" s="464" t="s">
        <v>256</v>
      </c>
      <c r="V397" s="464" t="e">
        <f>VLOOKUP(Tabla13[[#This Row],[Apoyo]],'LM SAP'!A:I,9,FALSE)</f>
        <v>#N/A</v>
      </c>
      <c r="X397" s="466">
        <v>0</v>
      </c>
      <c r="Y397" s="464">
        <f>Tabla13[[#This Row],[ID]]</f>
        <v>386</v>
      </c>
    </row>
    <row r="398" spans="1:25" s="464" customFormat="1" ht="24" x14ac:dyDescent="0.25">
      <c r="A398" s="453">
        <v>387</v>
      </c>
      <c r="B398" s="454" t="s">
        <v>807</v>
      </c>
      <c r="C398" s="469" t="s">
        <v>2683</v>
      </c>
      <c r="D398" s="456" t="s">
        <v>96</v>
      </c>
      <c r="E398" s="457" t="s">
        <v>809</v>
      </c>
      <c r="F398" s="458">
        <v>1</v>
      </c>
      <c r="G398" s="459"/>
      <c r="H398" s="460"/>
      <c r="I398" s="460" t="s">
        <v>276</v>
      </c>
      <c r="J398" s="460"/>
      <c r="K398" s="460" t="s">
        <v>1411</v>
      </c>
      <c r="L398" s="460">
        <v>60004729</v>
      </c>
      <c r="M398" s="461">
        <v>45595</v>
      </c>
      <c r="N398" s="461">
        <v>45638</v>
      </c>
      <c r="O398" s="470" t="s">
        <v>281</v>
      </c>
      <c r="P398" s="463" t="str">
        <f>IF(LEFT(B398,5)="09735",
    IF(ISNA(VLOOKUP(Tabla13[[#This Row],[Apoyo]],'LM SAP'!A:G,1,FALSE)),
        "No Disponible",
        IF(VLOOKUP(Tabla13[[#This Row],[Apoyo]],'LM SAP'!A:AD,9,FALSE)="RR",
            "Disponible",
            "Firmas SAP"
        )
    ),
    "CONSULTAR"
)</f>
        <v>No Disponible</v>
      </c>
      <c r="Q398" s="460" t="str">
        <f>MID(Tabla13[[#This Row],[Código Indra]],1,13)</f>
        <v>0973545040100</v>
      </c>
      <c r="R398" s="464" t="str">
        <f>IF(ISNA(VLOOKUP(Tabla13[[#This Row],[Código Indra]],#REF!,1,FALSE)),"NO", "SI")</f>
        <v>SI</v>
      </c>
      <c r="S398" s="460" t="str">
        <f>IF(ISNA(VLOOKUP(Tabla13[[#This Row],[Código Indra]],Tabla132[[Código INDRA]:[Nombre]],1,FALSE)),"NO", "SI")</f>
        <v>NO</v>
      </c>
      <c r="T398" s="465" t="s">
        <v>2005</v>
      </c>
      <c r="U398" s="464" t="s">
        <v>256</v>
      </c>
      <c r="V398" s="464" t="e">
        <f>VLOOKUP(Tabla13[[#This Row],[Apoyo]],'LM SAP'!A:I,9,FALSE)</f>
        <v>#N/A</v>
      </c>
      <c r="X398" s="466">
        <v>0</v>
      </c>
      <c r="Y398" s="464">
        <f>Tabla13[[#This Row],[ID]]</f>
        <v>387</v>
      </c>
    </row>
    <row r="399" spans="1:25" s="464" customFormat="1" ht="24" x14ac:dyDescent="0.25">
      <c r="A399" s="453">
        <v>388</v>
      </c>
      <c r="B399" s="480" t="s">
        <v>810</v>
      </c>
      <c r="C399" s="469" t="s">
        <v>2684</v>
      </c>
      <c r="D399" s="456" t="s">
        <v>96</v>
      </c>
      <c r="E399" s="457" t="s">
        <v>812</v>
      </c>
      <c r="F399" s="458">
        <v>1</v>
      </c>
      <c r="G399" s="459"/>
      <c r="H399" s="460"/>
      <c r="I399" s="460" t="s">
        <v>276</v>
      </c>
      <c r="J399" s="460"/>
      <c r="K399" s="460" t="s">
        <v>1411</v>
      </c>
      <c r="L399" s="460">
        <v>60005078</v>
      </c>
      <c r="M399" s="461">
        <v>45616</v>
      </c>
      <c r="N399" s="461">
        <v>45635</v>
      </c>
      <c r="O399" s="470" t="s">
        <v>2685</v>
      </c>
      <c r="P399" s="463" t="str">
        <f>IF(LEFT(B399,5)="09735",
    IF(ISNA(VLOOKUP(Tabla13[[#This Row],[Apoyo]],'LM SAP'!A:G,1,FALSE)),
        "No Disponible",
        IF(VLOOKUP(Tabla13[[#This Row],[Apoyo]],'LM SAP'!A:AD,9,FALSE)="RR",
            "Disponible",
            "Firmas SAP"
        )
    ),
    "CONSULTAR"
)</f>
        <v>No Disponible</v>
      </c>
      <c r="Q399" s="460" t="str">
        <f>MID(Tabla13[[#This Row],[Código Indra]],1,13)</f>
        <v>0973545040200</v>
      </c>
      <c r="R399" s="464" t="str">
        <f>IF(ISNA(VLOOKUP(Tabla13[[#This Row],[Código Indra]],#REF!,1,FALSE)),"NO", "SI")</f>
        <v>SI</v>
      </c>
      <c r="S399" s="460" t="str">
        <f>IF(ISNA(VLOOKUP(Tabla13[[#This Row],[Código Indra]],Tabla132[[Código INDRA]:[Nombre]],1,FALSE)),"NO", "SI")</f>
        <v>SI</v>
      </c>
      <c r="T399" s="465" t="s">
        <v>2111</v>
      </c>
      <c r="U399" s="464" t="s">
        <v>256</v>
      </c>
      <c r="V399" s="464" t="e">
        <f>VLOOKUP(Tabla13[[#This Row],[Apoyo]],'LM SAP'!A:I,9,FALSE)</f>
        <v>#N/A</v>
      </c>
      <c r="X399" s="466">
        <v>0</v>
      </c>
      <c r="Y399" s="464">
        <f>Tabla13[[#This Row],[ID]]</f>
        <v>388</v>
      </c>
    </row>
    <row r="400" spans="1:25" s="464" customFormat="1" x14ac:dyDescent="0.25">
      <c r="A400" s="453">
        <v>389</v>
      </c>
      <c r="B400" s="480" t="s">
        <v>810</v>
      </c>
      <c r="C400" s="469" t="s">
        <v>2686</v>
      </c>
      <c r="D400" s="456" t="s">
        <v>96</v>
      </c>
      <c r="E400" s="457"/>
      <c r="F400" s="458">
        <v>1</v>
      </c>
      <c r="G400" s="459"/>
      <c r="H400" s="460"/>
      <c r="I400" s="460" t="s">
        <v>276</v>
      </c>
      <c r="J400" s="460"/>
      <c r="K400" s="460" t="s">
        <v>1411</v>
      </c>
      <c r="L400" s="460">
        <v>60005538</v>
      </c>
      <c r="M400" s="461">
        <v>45670</v>
      </c>
      <c r="N400" s="461">
        <v>45679</v>
      </c>
      <c r="O400" s="470" t="s">
        <v>2091</v>
      </c>
      <c r="P400" s="463" t="str">
        <f>IF(LEFT(B400,5)="09735",
    IF(ISNA(VLOOKUP(Tabla13[[#This Row],[Apoyo]],'LM SAP'!A:G,1,FALSE)),
        "No Disponible",
        IF(VLOOKUP(Tabla13[[#This Row],[Apoyo]],'LM SAP'!A:AD,9,FALSE)="RR",
            "Disponible",
            "Firmas SAP"
        )
    ),
    "CONSULTAR"
)</f>
        <v>No Disponible</v>
      </c>
      <c r="Q400" s="460" t="str">
        <f>MID(Tabla13[[#This Row],[Código Indra]],1,13)</f>
        <v>0973545040200</v>
      </c>
      <c r="R400" s="464" t="str">
        <f>IF(ISNA(VLOOKUP(Tabla13[[#This Row],[Código Indra]],#REF!,1,FALSE)),"NO", "SI")</f>
        <v>SI</v>
      </c>
      <c r="S400" s="460" t="str">
        <f>IF(ISNA(VLOOKUP(Tabla13[[#This Row],[Código Indra]],Tabla132[[Código INDRA]:[Nombre]],1,FALSE)),"NO", "SI")</f>
        <v>SI</v>
      </c>
      <c r="T400" s="465" t="s">
        <v>2005</v>
      </c>
      <c r="U400" s="464" t="s">
        <v>256</v>
      </c>
      <c r="V400" s="464" t="e">
        <f>VLOOKUP(Tabla13[[#This Row],[Apoyo]],'LM SAP'!A:I,9,FALSE)</f>
        <v>#N/A</v>
      </c>
      <c r="X400" s="466">
        <v>0</v>
      </c>
      <c r="Y400" s="464">
        <f>Tabla13[[#This Row],[ID]]</f>
        <v>389</v>
      </c>
    </row>
    <row r="401" spans="1:25" s="464" customFormat="1" ht="168" x14ac:dyDescent="0.25">
      <c r="A401" s="497">
        <v>390</v>
      </c>
      <c r="B401" s="548" t="s">
        <v>52</v>
      </c>
      <c r="C401" s="499" t="s">
        <v>53</v>
      </c>
      <c r="D401" s="500" t="s">
        <v>53</v>
      </c>
      <c r="E401" s="501" t="s">
        <v>859</v>
      </c>
      <c r="F401" s="502">
        <v>1</v>
      </c>
      <c r="G401" s="507"/>
      <c r="H401" s="504" t="s">
        <v>2000</v>
      </c>
      <c r="I401" s="504" t="s">
        <v>276</v>
      </c>
      <c r="J401" s="504"/>
      <c r="K401" s="460" t="s">
        <v>1411</v>
      </c>
      <c r="L401" s="504">
        <v>60005508</v>
      </c>
      <c r="M401" s="505">
        <v>45665</v>
      </c>
      <c r="N401" s="505">
        <v>45671</v>
      </c>
      <c r="O401" s="549" t="s">
        <v>2687</v>
      </c>
      <c r="P401" s="506" t="str">
        <f>IF(LEFT(B401,5)="09735",
    IF(ISNA(VLOOKUP(Tabla13[[#This Row],[Apoyo]],'LM SAP'!A:G,1,FALSE)),
        "No Disponible",
        IF(VLOOKUP(Tabla13[[#This Row],[Apoyo]],'LM SAP'!A:AD,9,FALSE)="RR",
            "Disponible",
            "Firmas SAP"
        )
    ),
    "CONSULTAR"
)</f>
        <v>No Disponible</v>
      </c>
      <c r="Q401" s="504" t="str">
        <f>MID(Tabla13[[#This Row],[Código Indra]],1,13)</f>
        <v>0973524430000</v>
      </c>
      <c r="R401" s="493" t="str">
        <f>IF(ISNA(VLOOKUP(Tabla13[[#This Row],[Código Indra]],#REF!,1,FALSE)),"NO", "SI")</f>
        <v>SI</v>
      </c>
      <c r="S401" s="504" t="str">
        <f>IF(ISNA(VLOOKUP(Tabla13[[#This Row],[Código Indra]],Tabla132[[Código INDRA]:[Nombre]],1,FALSE)),"NO", "SI")</f>
        <v>SI</v>
      </c>
      <c r="T401" s="507"/>
      <c r="U401" s="493" t="s">
        <v>227</v>
      </c>
      <c r="V401" s="493" t="e">
        <f>VLOOKUP(Tabla13[[#This Row],[Apoyo]],'LM SAP'!A:I,9,FALSE)</f>
        <v>#N/A</v>
      </c>
      <c r="W401" s="493" t="s">
        <v>234</v>
      </c>
      <c r="X401" s="508">
        <v>0</v>
      </c>
      <c r="Y401" s="493">
        <f>Tabla13[[#This Row],[ID]]</f>
        <v>390</v>
      </c>
    </row>
    <row r="402" spans="1:25" s="464" customFormat="1" ht="24" x14ac:dyDescent="0.25">
      <c r="A402" s="453">
        <v>391</v>
      </c>
      <c r="B402" s="454" t="s">
        <v>917</v>
      </c>
      <c r="C402" s="469" t="s">
        <v>918</v>
      </c>
      <c r="D402" s="456" t="s">
        <v>53</v>
      </c>
      <c r="E402" s="457" t="s">
        <v>920</v>
      </c>
      <c r="F402" s="458">
        <v>1</v>
      </c>
      <c r="G402" s="465"/>
      <c r="H402" s="460"/>
      <c r="I402" s="460" t="s">
        <v>591</v>
      </c>
      <c r="J402" s="460"/>
      <c r="K402" s="460" t="s">
        <v>1411</v>
      </c>
      <c r="L402" s="460">
        <v>60004843</v>
      </c>
      <c r="M402" s="461">
        <v>45607</v>
      </c>
      <c r="N402" s="461">
        <v>45616</v>
      </c>
      <c r="O402" s="470" t="s">
        <v>281</v>
      </c>
      <c r="P402" s="463" t="str">
        <f>IF(LEFT(B402,5)="09735",
    IF(ISNA(VLOOKUP(Tabla13[[#This Row],[Apoyo]],'LM SAP'!A:G,1,FALSE)),
        "No Disponible",
        IF(VLOOKUP(Tabla13[[#This Row],[Apoyo]],'LM SAP'!A:AD,9,FALSE)="RR",
            "Disponible",
            "Firmas SAP"
        )
    ),
    "CONSULTAR"
)</f>
        <v>No Disponible</v>
      </c>
      <c r="Q402" s="460" t="str">
        <f>MID(Tabla13[[#This Row],[Código Indra]],1,13)</f>
        <v>0973545050200</v>
      </c>
      <c r="R402" s="464" t="str">
        <f>IF(ISNA(VLOOKUP(Tabla13[[#This Row],[Código Indra]],#REF!,1,FALSE)),"NO", "SI")</f>
        <v>SI</v>
      </c>
      <c r="S402" s="460" t="str">
        <f>IF(ISNA(VLOOKUP(Tabla13[[#This Row],[Código Indra]],Tabla132[[Código INDRA]:[Nombre]],1,FALSE)),"NO", "SI")</f>
        <v>SI</v>
      </c>
      <c r="T402" s="465" t="s">
        <v>2005</v>
      </c>
      <c r="U402" s="464" t="s">
        <v>256</v>
      </c>
      <c r="V402" s="464" t="e">
        <f>VLOOKUP(Tabla13[[#This Row],[Apoyo]],'LM SAP'!A:I,9,FALSE)</f>
        <v>#N/A</v>
      </c>
      <c r="W402" s="464" t="s">
        <v>234</v>
      </c>
      <c r="X402" s="466">
        <v>4</v>
      </c>
      <c r="Y402" s="464">
        <f>Tabla13[[#This Row],[ID]]</f>
        <v>391</v>
      </c>
    </row>
    <row r="403" spans="1:25" s="464" customFormat="1" ht="72" x14ac:dyDescent="0.25">
      <c r="A403" s="453">
        <v>392</v>
      </c>
      <c r="B403" s="454" t="s">
        <v>921</v>
      </c>
      <c r="C403" s="469" t="s">
        <v>922</v>
      </c>
      <c r="D403" s="456" t="s">
        <v>53</v>
      </c>
      <c r="E403" s="457" t="s">
        <v>923</v>
      </c>
      <c r="F403" s="458">
        <v>1</v>
      </c>
      <c r="G403" s="465"/>
      <c r="H403" s="460"/>
      <c r="I403" s="460" t="s">
        <v>591</v>
      </c>
      <c r="J403" s="460"/>
      <c r="K403" s="460" t="s">
        <v>1411</v>
      </c>
      <c r="L403" s="460">
        <v>60004844</v>
      </c>
      <c r="M403" s="461">
        <v>45607</v>
      </c>
      <c r="N403" s="461">
        <v>45616</v>
      </c>
      <c r="O403" s="470" t="s">
        <v>924</v>
      </c>
      <c r="P403" s="463" t="str">
        <f>IF(LEFT(B403,5)="09735",
    IF(ISNA(VLOOKUP(Tabla13[[#This Row],[Apoyo]],'LM SAP'!A:G,1,FALSE)),
        "No Disponible",
        IF(VLOOKUP(Tabla13[[#This Row],[Apoyo]],'LM SAP'!A:AD,9,FALSE)="RR",
            "Disponible",
            "Firmas SAP"
        )
    ),
    "CONSULTAR"
)</f>
        <v>No Disponible</v>
      </c>
      <c r="Q403" s="460" t="str">
        <f>MID(Tabla13[[#This Row],[Código Indra]],1,13)</f>
        <v>0973545050300</v>
      </c>
      <c r="R403" s="464" t="str">
        <f>IF(ISNA(VLOOKUP(Tabla13[[#This Row],[Código Indra]],#REF!,1,FALSE)),"NO", "SI")</f>
        <v>SI</v>
      </c>
      <c r="S403" s="460" t="str">
        <f>IF(ISNA(VLOOKUP(Tabla13[[#This Row],[Código Indra]],Tabla132[[Código INDRA]:[Nombre]],1,FALSE)),"NO", "SI")</f>
        <v>NO</v>
      </c>
      <c r="T403" s="465" t="s">
        <v>2005</v>
      </c>
      <c r="U403" s="464" t="s">
        <v>256</v>
      </c>
      <c r="V403" s="464" t="e">
        <f>VLOOKUP(Tabla13[[#This Row],[Apoyo]],'LM SAP'!A:I,9,FALSE)</f>
        <v>#N/A</v>
      </c>
      <c r="W403" s="464" t="s">
        <v>234</v>
      </c>
      <c r="X403" s="466">
        <v>4</v>
      </c>
      <c r="Y403" s="464">
        <f>Tabla13[[#This Row],[ID]]</f>
        <v>392</v>
      </c>
    </row>
    <row r="404" spans="1:25" s="464" customFormat="1" ht="24" x14ac:dyDescent="0.25">
      <c r="A404" s="453">
        <v>393</v>
      </c>
      <c r="B404" s="454" t="s">
        <v>925</v>
      </c>
      <c r="C404" s="469" t="s">
        <v>2688</v>
      </c>
      <c r="D404" s="456" t="s">
        <v>53</v>
      </c>
      <c r="E404" s="457" t="s">
        <v>927</v>
      </c>
      <c r="F404" s="458">
        <v>1</v>
      </c>
      <c r="G404" s="465"/>
      <c r="H404" s="460"/>
      <c r="I404" s="460" t="s">
        <v>591</v>
      </c>
      <c r="J404" s="460"/>
      <c r="K404" s="460" t="s">
        <v>1411</v>
      </c>
      <c r="L404" s="460">
        <v>60004845</v>
      </c>
      <c r="M404" s="461">
        <v>45607</v>
      </c>
      <c r="N404" s="461">
        <v>45622</v>
      </c>
      <c r="O404" s="470" t="s">
        <v>568</v>
      </c>
      <c r="P404" s="463" t="str">
        <f>IF(LEFT(B404,5)="09735",
    IF(ISNA(VLOOKUP(Tabla13[[#This Row],[Apoyo]],'LM SAP'!A:G,1,FALSE)),
        "No Disponible",
        IF(VLOOKUP(Tabla13[[#This Row],[Apoyo]],'LM SAP'!A:AD,9,FALSE)="RR",
            "Disponible",
            "Firmas SAP"
        )
    ),
    "CONSULTAR"
)</f>
        <v>No Disponible</v>
      </c>
      <c r="Q404" s="460" t="str">
        <f>MID(Tabla13[[#This Row],[Código Indra]],1,13)</f>
        <v>0973545050400</v>
      </c>
      <c r="R404" s="464" t="str">
        <f>IF(ISNA(VLOOKUP(Tabla13[[#This Row],[Código Indra]],#REF!,1,FALSE)),"NO", "SI")</f>
        <v>SI</v>
      </c>
      <c r="S404" s="460" t="str">
        <f>IF(ISNA(VLOOKUP(Tabla13[[#This Row],[Código Indra]],Tabla132[[Código INDRA]:[Nombre]],1,FALSE)),"NO", "SI")</f>
        <v>NO</v>
      </c>
      <c r="T404" s="465" t="s">
        <v>2005</v>
      </c>
      <c r="U404" s="464" t="s">
        <v>256</v>
      </c>
      <c r="V404" s="464" t="e">
        <f>VLOOKUP(Tabla13[[#This Row],[Apoyo]],'LM SAP'!A:I,9,FALSE)</f>
        <v>#N/A</v>
      </c>
      <c r="W404" s="464" t="s">
        <v>234</v>
      </c>
      <c r="X404" s="466">
        <v>4</v>
      </c>
      <c r="Y404" s="464">
        <f>Tabla13[[#This Row],[ID]]</f>
        <v>393</v>
      </c>
    </row>
    <row r="405" spans="1:25" s="464" customFormat="1" ht="24" x14ac:dyDescent="0.25">
      <c r="A405" s="453">
        <v>394</v>
      </c>
      <c r="B405" s="454" t="s">
        <v>928</v>
      </c>
      <c r="C405" s="469" t="s">
        <v>929</v>
      </c>
      <c r="D405" s="456" t="s">
        <v>53</v>
      </c>
      <c r="E405" s="457" t="s">
        <v>930</v>
      </c>
      <c r="F405" s="458">
        <v>1</v>
      </c>
      <c r="G405" s="465"/>
      <c r="H405" s="460"/>
      <c r="I405" s="460" t="s">
        <v>591</v>
      </c>
      <c r="J405" s="460"/>
      <c r="K405" s="460" t="s">
        <v>1411</v>
      </c>
      <c r="L405" s="460">
        <v>60004846</v>
      </c>
      <c r="M405" s="461">
        <v>45607</v>
      </c>
      <c r="N405" s="461">
        <v>45631</v>
      </c>
      <c r="O405" s="470" t="s">
        <v>711</v>
      </c>
      <c r="P405" s="463" t="str">
        <f>IF(LEFT(B405,5)="09735",
    IF(ISNA(VLOOKUP(Tabla13[[#This Row],[Apoyo]],'LM SAP'!A:G,1,FALSE)),
        "No Disponible",
        IF(VLOOKUP(Tabla13[[#This Row],[Apoyo]],'LM SAP'!A:AD,9,FALSE)="RR",
            "Disponible",
            "Firmas SAP"
        )
    ),
    "CONSULTAR"
)</f>
        <v>No Disponible</v>
      </c>
      <c r="Q405" s="460" t="str">
        <f>MID(Tabla13[[#This Row],[Código Indra]],1,13)</f>
        <v>0973545050500</v>
      </c>
      <c r="R405" s="464" t="str">
        <f>IF(ISNA(VLOOKUP(Tabla13[[#This Row],[Código Indra]],#REF!,1,FALSE)),"NO", "SI")</f>
        <v>SI</v>
      </c>
      <c r="S405" s="460" t="str">
        <f>IF(ISNA(VLOOKUP(Tabla13[[#This Row],[Código Indra]],Tabla132[[Código INDRA]:[Nombre]],1,FALSE)),"NO", "SI")</f>
        <v>NO</v>
      </c>
      <c r="T405" s="465" t="s">
        <v>2005</v>
      </c>
      <c r="U405" s="464" t="s">
        <v>256</v>
      </c>
      <c r="V405" s="464" t="e">
        <f>VLOOKUP(Tabla13[[#This Row],[Apoyo]],'LM SAP'!A:I,9,FALSE)</f>
        <v>#N/A</v>
      </c>
      <c r="X405" s="466">
        <v>4</v>
      </c>
      <c r="Y405" s="464">
        <f>Tabla13[[#This Row],[ID]]</f>
        <v>394</v>
      </c>
    </row>
    <row r="406" spans="1:25" s="464" customFormat="1" ht="24" x14ac:dyDescent="0.25">
      <c r="A406" s="453">
        <v>395</v>
      </c>
      <c r="B406" s="480" t="s">
        <v>931</v>
      </c>
      <c r="C406" s="469" t="s">
        <v>2689</v>
      </c>
      <c r="D406" s="481" t="s">
        <v>53</v>
      </c>
      <c r="E406" s="457" t="s">
        <v>2690</v>
      </c>
      <c r="F406" s="458">
        <v>1</v>
      </c>
      <c r="G406" s="465" t="s">
        <v>260</v>
      </c>
      <c r="H406" s="460"/>
      <c r="I406" s="460" t="s">
        <v>591</v>
      </c>
      <c r="J406" s="460"/>
      <c r="K406" s="460" t="s">
        <v>1411</v>
      </c>
      <c r="L406" s="460">
        <v>60005696</v>
      </c>
      <c r="M406" s="461">
        <v>45686</v>
      </c>
      <c r="N406" s="461">
        <v>45705</v>
      </c>
      <c r="O406" s="494" t="s">
        <v>2184</v>
      </c>
      <c r="P406" s="463" t="str">
        <f>IF(LEFT(B406,5)="09735",
    IF(ISNA(VLOOKUP(Tabla13[[#This Row],[Apoyo]],'LM SAP'!A:G,1,FALSE)),
        "No Disponible",
        IF(VLOOKUP(Tabla13[[#This Row],[Apoyo]],'LM SAP'!A:AD,9,FALSE)="RR",
            "Disponible",
            "Firmas SAP"
        )
    ),
    "CONSULTAR"
)</f>
        <v>No Disponible</v>
      </c>
      <c r="Q406" s="460" t="str">
        <f>MID(Tabla13[[#This Row],[Código Indra]],1,13)</f>
        <v>0973545050600</v>
      </c>
      <c r="R406" s="464" t="str">
        <f>IF(ISNA(VLOOKUP(Tabla13[[#This Row],[Código Indra]],#REF!,1,FALSE)),"NO", "SI")</f>
        <v>SI</v>
      </c>
      <c r="S406" s="460" t="str">
        <f>IF(ISNA(VLOOKUP(Tabla13[[#This Row],[Código Indra]],Tabla132[[Código INDRA]:[Nombre]],1,FALSE)),"NO", "SI")</f>
        <v>NO</v>
      </c>
      <c r="T406" s="465" t="s">
        <v>2005</v>
      </c>
      <c r="U406" s="464" t="s">
        <v>256</v>
      </c>
      <c r="V406" s="464" t="e">
        <f>VLOOKUP(Tabla13[[#This Row],[Apoyo]],'LM SAP'!A:I,9,FALSE)</f>
        <v>#N/A</v>
      </c>
      <c r="X406" s="466">
        <v>4</v>
      </c>
      <c r="Y406" s="464">
        <f>Tabla13[[#This Row],[ID]]</f>
        <v>395</v>
      </c>
    </row>
    <row r="407" spans="1:25" s="464" customFormat="1" ht="84" x14ac:dyDescent="0.25">
      <c r="A407" s="453">
        <v>396</v>
      </c>
      <c r="B407" s="480" t="s">
        <v>934</v>
      </c>
      <c r="C407" s="469" t="s">
        <v>2691</v>
      </c>
      <c r="D407" s="456" t="s">
        <v>53</v>
      </c>
      <c r="E407" s="457" t="s">
        <v>935</v>
      </c>
      <c r="F407" s="458">
        <v>1</v>
      </c>
      <c r="G407" s="465"/>
      <c r="H407" s="460"/>
      <c r="I407" s="460" t="s">
        <v>591</v>
      </c>
      <c r="J407" s="460"/>
      <c r="K407" s="460" t="s">
        <v>1411</v>
      </c>
      <c r="L407" s="460">
        <v>60004847</v>
      </c>
      <c r="M407" s="461">
        <v>45607</v>
      </c>
      <c r="N407" s="461">
        <v>45631</v>
      </c>
      <c r="O407" s="470" t="s">
        <v>2692</v>
      </c>
      <c r="P407" s="463" t="str">
        <f>IF(LEFT(B407,5)="09735",
    IF(ISNA(VLOOKUP(Tabla13[[#This Row],[Apoyo]],'LM SAP'!A:G,1,FALSE)),
        "No Disponible",
        IF(VLOOKUP(Tabla13[[#This Row],[Apoyo]],'LM SAP'!A:AD,9,FALSE)="RR",
            "Disponible",
            "Firmas SAP"
        )
    ),
    "CONSULTAR"
)</f>
        <v>No Disponible</v>
      </c>
      <c r="Q407" s="460" t="str">
        <f>MID(Tabla13[[#This Row],[Código Indra]],1,13)</f>
        <v>0973545050700</v>
      </c>
      <c r="R407" s="464" t="str">
        <f>IF(ISNA(VLOOKUP(Tabla13[[#This Row],[Código Indra]],#REF!,1,FALSE)),"NO", "SI")</f>
        <v>SI</v>
      </c>
      <c r="S407" s="460" t="str">
        <f>IF(ISNA(VLOOKUP(Tabla13[[#This Row],[Código Indra]],Tabla132[[Código INDRA]:[Nombre]],1,FALSE)),"NO", "SI")</f>
        <v>NO</v>
      </c>
      <c r="T407" s="465" t="s">
        <v>2005</v>
      </c>
      <c r="U407" s="464" t="s">
        <v>256</v>
      </c>
      <c r="V407" s="464" t="e">
        <f>VLOOKUP(Tabla13[[#This Row],[Apoyo]],'LM SAP'!A:I,9,FALSE)</f>
        <v>#N/A</v>
      </c>
      <c r="X407" s="466">
        <v>4</v>
      </c>
      <c r="Y407" s="464">
        <f>Tabla13[[#This Row],[ID]]</f>
        <v>396</v>
      </c>
    </row>
    <row r="408" spans="1:25" s="550" customFormat="1" ht="48" x14ac:dyDescent="0.25">
      <c r="A408" s="453">
        <v>397</v>
      </c>
      <c r="B408" s="480" t="s">
        <v>1011</v>
      </c>
      <c r="C408" s="469" t="s">
        <v>1012</v>
      </c>
      <c r="D408" s="456" t="s">
        <v>53</v>
      </c>
      <c r="E408" s="457" t="s">
        <v>1013</v>
      </c>
      <c r="F408" s="458">
        <v>1</v>
      </c>
      <c r="G408" s="459"/>
      <c r="H408" s="460"/>
      <c r="I408" s="460" t="s">
        <v>591</v>
      </c>
      <c r="J408" s="460"/>
      <c r="K408" s="460" t="s">
        <v>1411</v>
      </c>
      <c r="L408" s="460">
        <v>60004859</v>
      </c>
      <c r="M408" s="461">
        <v>45607</v>
      </c>
      <c r="N408" s="461">
        <v>45629</v>
      </c>
      <c r="O408" s="470" t="s">
        <v>2693</v>
      </c>
      <c r="P408" s="463" t="str">
        <f>IF(LEFT(B408,5)="09735",
    IF(ISNA(VLOOKUP(Tabla13[[#This Row],[Apoyo]],'LM SAP'!A:G,1,FALSE)),
        "No Disponible",
        IF(VLOOKUP(Tabla13[[#This Row],[Apoyo]],'LM SAP'!A:AD,9,FALSE)="RR",
            "Disponible",
            "Firmas SAP"
        )
    ),
    "CONSULTAR"
)</f>
        <v>No Disponible</v>
      </c>
      <c r="Q408" s="460" t="str">
        <f>MID(Tabla13[[#This Row],[Código Indra]],1,13)</f>
        <v>0973545050800</v>
      </c>
      <c r="R408" s="464" t="str">
        <f>IF(ISNA(VLOOKUP(Tabla13[[#This Row],[Código Indra]],#REF!,1,FALSE)),"NO", "SI")</f>
        <v>SI</v>
      </c>
      <c r="S408" s="460" t="str">
        <f>IF(ISNA(VLOOKUP(Tabla13[[#This Row],[Código Indra]],Tabla132[[Código INDRA]:[Nombre]],1,FALSE)),"NO", "SI")</f>
        <v>NO</v>
      </c>
      <c r="T408" s="465"/>
      <c r="U408" s="464" t="s">
        <v>256</v>
      </c>
      <c r="V408" s="464" t="e">
        <f>VLOOKUP(Tabla13[[#This Row],[Apoyo]],'LM SAP'!A:I,9,FALSE)</f>
        <v>#N/A</v>
      </c>
      <c r="W408" s="464"/>
      <c r="X408" s="466">
        <v>4</v>
      </c>
      <c r="Y408" s="464">
        <f>Tabla13[[#This Row],[ID]]</f>
        <v>397</v>
      </c>
    </row>
    <row r="409" spans="1:25" s="550" customFormat="1" ht="24" x14ac:dyDescent="0.25">
      <c r="A409" s="453">
        <v>398</v>
      </c>
      <c r="B409" s="454" t="s">
        <v>588</v>
      </c>
      <c r="C409" s="469" t="s">
        <v>589</v>
      </c>
      <c r="D409" s="456" t="s">
        <v>53</v>
      </c>
      <c r="E409" s="457" t="s">
        <v>590</v>
      </c>
      <c r="F409" s="458">
        <v>1</v>
      </c>
      <c r="G409" s="459"/>
      <c r="H409" s="460"/>
      <c r="I409" s="460" t="s">
        <v>591</v>
      </c>
      <c r="J409" s="460"/>
      <c r="K409" s="460" t="s">
        <v>1411</v>
      </c>
      <c r="L409" s="460">
        <v>60004840</v>
      </c>
      <c r="M409" s="461">
        <v>45607</v>
      </c>
      <c r="N409" s="461">
        <v>45616</v>
      </c>
      <c r="O409" s="470" t="s">
        <v>281</v>
      </c>
      <c r="P409" s="463" t="str">
        <f>IF(LEFT(B409,5)="09735",
    IF(ISNA(VLOOKUP(Tabla13[[#This Row],[Apoyo]],'LM SAP'!A:G,1,FALSE)),
        "No Disponible",
        IF(VLOOKUP(Tabla13[[#This Row],[Apoyo]],'LM SAP'!A:AD,9,FALSE)="RR",
            "Disponible",
            "Firmas SAP"
        )
    ),
    "CONSULTAR"
)</f>
        <v>No Disponible</v>
      </c>
      <c r="Q409" s="460" t="str">
        <f>MID(Tabla13[[#This Row],[Código Indra]],1,13)</f>
        <v>0973545050900</v>
      </c>
      <c r="R409" s="464" t="str">
        <f>IF(ISNA(VLOOKUP(Tabla13[[#This Row],[Código Indra]],#REF!,1,FALSE)),"NO", "SI")</f>
        <v>SI</v>
      </c>
      <c r="S409" s="460" t="str">
        <f>IF(ISNA(VLOOKUP(Tabla13[[#This Row],[Código Indra]],Tabla132[[Código INDRA]:[Nombre]],1,FALSE)),"NO", "SI")</f>
        <v>NO</v>
      </c>
      <c r="T409" s="465" t="s">
        <v>2005</v>
      </c>
      <c r="U409" s="464" t="s">
        <v>256</v>
      </c>
      <c r="V409" s="464" t="e">
        <f>VLOOKUP(Tabla13[[#This Row],[Apoyo]],'LM SAP'!A:I,9,FALSE)</f>
        <v>#N/A</v>
      </c>
      <c r="W409" s="464" t="s">
        <v>234</v>
      </c>
      <c r="X409" s="466">
        <v>4</v>
      </c>
      <c r="Y409" s="464">
        <f>Tabla13[[#This Row],[ID]]</f>
        <v>398</v>
      </c>
    </row>
    <row r="410" spans="1:25" s="550" customFormat="1" ht="24" x14ac:dyDescent="0.25">
      <c r="A410" s="453">
        <v>399</v>
      </c>
      <c r="B410" s="454" t="s">
        <v>940</v>
      </c>
      <c r="C410" s="469" t="s">
        <v>2694</v>
      </c>
      <c r="D410" s="456" t="s">
        <v>53</v>
      </c>
      <c r="E410" s="457" t="s">
        <v>942</v>
      </c>
      <c r="F410" s="458">
        <v>1</v>
      </c>
      <c r="G410" s="459"/>
      <c r="H410" s="460"/>
      <c r="I410" s="460" t="s">
        <v>591</v>
      </c>
      <c r="J410" s="460"/>
      <c r="K410" s="460" t="s">
        <v>1411</v>
      </c>
      <c r="L410" s="460">
        <v>60004848</v>
      </c>
      <c r="M410" s="461">
        <v>45607</v>
      </c>
      <c r="N410" s="461">
        <v>45622</v>
      </c>
      <c r="O410" s="470" t="s">
        <v>568</v>
      </c>
      <c r="P410" s="463" t="str">
        <f>IF(LEFT(B410,5)="09735",
    IF(ISNA(VLOOKUP(Tabla13[[#This Row],[Apoyo]],'LM SAP'!A:G,1,FALSE)),
        "No Disponible",
        IF(VLOOKUP(Tabla13[[#This Row],[Apoyo]],'LM SAP'!A:AD,9,FALSE)="RR",
            "Disponible",
            "Firmas SAP"
        )
    ),
    "CONSULTAR"
)</f>
        <v>No Disponible</v>
      </c>
      <c r="Q410" s="460" t="str">
        <f>MID(Tabla13[[#This Row],[Código Indra]],1,13)</f>
        <v>0973545051100</v>
      </c>
      <c r="R410" s="464" t="str">
        <f>IF(ISNA(VLOOKUP(Tabla13[[#This Row],[Código Indra]],#REF!,1,FALSE)),"NO", "SI")</f>
        <v>SI</v>
      </c>
      <c r="S410" s="460" t="str">
        <f>IF(ISNA(VLOOKUP(Tabla13[[#This Row],[Código Indra]],Tabla132[[Código INDRA]:[Nombre]],1,FALSE)),"NO", "SI")</f>
        <v>NO</v>
      </c>
      <c r="T410" s="465" t="s">
        <v>2005</v>
      </c>
      <c r="U410" s="464" t="s">
        <v>256</v>
      </c>
      <c r="V410" s="464" t="e">
        <f>VLOOKUP(Tabla13[[#This Row],[Apoyo]],'LM SAP'!A:I,9,FALSE)</f>
        <v>#N/A</v>
      </c>
      <c r="W410" s="464" t="s">
        <v>234</v>
      </c>
      <c r="X410" s="466">
        <v>4</v>
      </c>
      <c r="Y410" s="464">
        <f>Tabla13[[#This Row],[ID]]</f>
        <v>399</v>
      </c>
    </row>
    <row r="411" spans="1:25" s="550" customFormat="1" ht="24" x14ac:dyDescent="0.25">
      <c r="A411" s="453">
        <v>400</v>
      </c>
      <c r="B411" s="454" t="s">
        <v>943</v>
      </c>
      <c r="C411" s="469" t="s">
        <v>944</v>
      </c>
      <c r="D411" s="456" t="s">
        <v>53</v>
      </c>
      <c r="E411" s="457" t="s">
        <v>945</v>
      </c>
      <c r="F411" s="458">
        <v>1</v>
      </c>
      <c r="G411" s="459"/>
      <c r="H411" s="460"/>
      <c r="I411" s="460" t="s">
        <v>591</v>
      </c>
      <c r="J411" s="460"/>
      <c r="K411" s="460" t="s">
        <v>1411</v>
      </c>
      <c r="L411" s="460">
        <v>60004849</v>
      </c>
      <c r="M411" s="461">
        <v>45607</v>
      </c>
      <c r="N411" s="461">
        <v>45624</v>
      </c>
      <c r="O411" s="470" t="s">
        <v>281</v>
      </c>
      <c r="P411" s="463" t="str">
        <f>IF(LEFT(B411,5)="09735",
    IF(ISNA(VLOOKUP(Tabla13[[#This Row],[Apoyo]],'LM SAP'!A:G,1,FALSE)),
        "No Disponible",
        IF(VLOOKUP(Tabla13[[#This Row],[Apoyo]],'LM SAP'!A:AD,9,FALSE)="RR",
            "Disponible",
            "Firmas SAP"
        )
    ),
    "CONSULTAR"
)</f>
        <v>No Disponible</v>
      </c>
      <c r="Q411" s="460" t="str">
        <f>MID(Tabla13[[#This Row],[Código Indra]],1,13)</f>
        <v>0973545051200</v>
      </c>
      <c r="R411" s="464" t="str">
        <f>IF(ISNA(VLOOKUP(Tabla13[[#This Row],[Código Indra]],#REF!,1,FALSE)),"NO", "SI")</f>
        <v>SI</v>
      </c>
      <c r="S411" s="460" t="str">
        <f>IF(ISNA(VLOOKUP(Tabla13[[#This Row],[Código Indra]],Tabla132[[Código INDRA]:[Nombre]],1,FALSE)),"NO", "SI")</f>
        <v>NO</v>
      </c>
      <c r="T411" s="465" t="s">
        <v>2005</v>
      </c>
      <c r="U411" s="464" t="s">
        <v>256</v>
      </c>
      <c r="V411" s="464" t="e">
        <f>VLOOKUP(Tabla13[[#This Row],[Apoyo]],'LM SAP'!A:I,9,FALSE)</f>
        <v>#N/A</v>
      </c>
      <c r="W411" s="464" t="s">
        <v>234</v>
      </c>
      <c r="X411" s="466">
        <v>4</v>
      </c>
      <c r="Y411" s="464">
        <f>Tabla13[[#This Row],[ID]]</f>
        <v>400</v>
      </c>
    </row>
    <row r="412" spans="1:25" s="550" customFormat="1" ht="24" x14ac:dyDescent="0.25">
      <c r="A412" s="453">
        <v>401</v>
      </c>
      <c r="B412" s="454" t="s">
        <v>946</v>
      </c>
      <c r="C412" s="469" t="s">
        <v>947</v>
      </c>
      <c r="D412" s="456" t="s">
        <v>53</v>
      </c>
      <c r="E412" s="457" t="s">
        <v>949</v>
      </c>
      <c r="F412" s="458">
        <v>1</v>
      </c>
      <c r="G412" s="459"/>
      <c r="H412" s="460"/>
      <c r="I412" s="460" t="s">
        <v>591</v>
      </c>
      <c r="J412" s="460"/>
      <c r="K412" s="460" t="s">
        <v>1411</v>
      </c>
      <c r="L412" s="460">
        <v>60004850</v>
      </c>
      <c r="M412" s="461">
        <v>45607</v>
      </c>
      <c r="N412" s="461">
        <v>45624</v>
      </c>
      <c r="O412" s="470" t="s">
        <v>281</v>
      </c>
      <c r="P412" s="463" t="str">
        <f>IF(LEFT(B412,5)="09735",
    IF(ISNA(VLOOKUP(Tabla13[[#This Row],[Apoyo]],'LM SAP'!A:G,1,FALSE)),
        "No Disponible",
        IF(VLOOKUP(Tabla13[[#This Row],[Apoyo]],'LM SAP'!A:AD,9,FALSE)="RR",
            "Disponible",
            "Firmas SAP"
        )
    ),
    "CONSULTAR"
)</f>
        <v>No Disponible</v>
      </c>
      <c r="Q412" s="460" t="str">
        <f>MID(Tabla13[[#This Row],[Código Indra]],1,13)</f>
        <v>0973545051300</v>
      </c>
      <c r="R412" s="464" t="str">
        <f>IF(ISNA(VLOOKUP(Tabla13[[#This Row],[Código Indra]],#REF!,1,FALSE)),"NO", "SI")</f>
        <v>SI</v>
      </c>
      <c r="S412" s="460" t="str">
        <f>IF(ISNA(VLOOKUP(Tabla13[[#This Row],[Código Indra]],Tabla132[[Código INDRA]:[Nombre]],1,FALSE)),"NO", "SI")</f>
        <v>NO</v>
      </c>
      <c r="T412" s="465" t="s">
        <v>2005</v>
      </c>
      <c r="U412" s="464" t="s">
        <v>256</v>
      </c>
      <c r="V412" s="464" t="e">
        <f>VLOOKUP(Tabla13[[#This Row],[Apoyo]],'LM SAP'!A:I,9,FALSE)</f>
        <v>#N/A</v>
      </c>
      <c r="W412" s="464" t="s">
        <v>234</v>
      </c>
      <c r="X412" s="466">
        <v>4</v>
      </c>
      <c r="Y412" s="464">
        <f>Tabla13[[#This Row],[ID]]</f>
        <v>401</v>
      </c>
    </row>
    <row r="413" spans="1:25" s="550" customFormat="1" ht="24" x14ac:dyDescent="0.25">
      <c r="A413" s="453">
        <v>402</v>
      </c>
      <c r="B413" s="454" t="s">
        <v>950</v>
      </c>
      <c r="C413" s="469" t="s">
        <v>951</v>
      </c>
      <c r="D413" s="456" t="s">
        <v>53</v>
      </c>
      <c r="E413" s="457" t="s">
        <v>953</v>
      </c>
      <c r="F413" s="458">
        <v>1</v>
      </c>
      <c r="G413" s="459"/>
      <c r="H413" s="460"/>
      <c r="I413" s="460" t="s">
        <v>591</v>
      </c>
      <c r="J413" s="460"/>
      <c r="K413" s="460" t="s">
        <v>1411</v>
      </c>
      <c r="L413" s="460">
        <v>60004851</v>
      </c>
      <c r="M413" s="461">
        <v>45607</v>
      </c>
      <c r="N413" s="461">
        <v>45624</v>
      </c>
      <c r="O413" s="470" t="s">
        <v>281</v>
      </c>
      <c r="P413" s="463" t="str">
        <f>IF(LEFT(B413,5)="09735",
    IF(ISNA(VLOOKUP(Tabla13[[#This Row],[Apoyo]],'LM SAP'!A:G,1,FALSE)),
        "No Disponible",
        IF(VLOOKUP(Tabla13[[#This Row],[Apoyo]],'LM SAP'!A:AD,9,FALSE)="RR",
            "Disponible",
            "Firmas SAP"
        )
    ),
    "CONSULTAR"
)</f>
        <v>No Disponible</v>
      </c>
      <c r="Q413" s="460" t="str">
        <f>MID(Tabla13[[#This Row],[Código Indra]],1,13)</f>
        <v>0973545051400</v>
      </c>
      <c r="R413" s="464" t="str">
        <f>IF(ISNA(VLOOKUP(Tabla13[[#This Row],[Código Indra]],#REF!,1,FALSE)),"NO", "SI")</f>
        <v>SI</v>
      </c>
      <c r="S413" s="460" t="str">
        <f>IF(ISNA(VLOOKUP(Tabla13[[#This Row],[Código Indra]],Tabla132[[Código INDRA]:[Nombre]],1,FALSE)),"NO", "SI")</f>
        <v>NO</v>
      </c>
      <c r="T413" s="465" t="s">
        <v>2005</v>
      </c>
      <c r="U413" s="464" t="s">
        <v>256</v>
      </c>
      <c r="V413" s="464" t="e">
        <f>VLOOKUP(Tabla13[[#This Row],[Apoyo]],'LM SAP'!A:I,9,FALSE)</f>
        <v>#N/A</v>
      </c>
      <c r="W413" s="464" t="s">
        <v>234</v>
      </c>
      <c r="X413" s="466">
        <v>4</v>
      </c>
      <c r="Y413" s="464">
        <f>Tabla13[[#This Row],[ID]]</f>
        <v>402</v>
      </c>
    </row>
    <row r="414" spans="1:25" s="550" customFormat="1" ht="24" x14ac:dyDescent="0.25">
      <c r="A414" s="453">
        <v>403</v>
      </c>
      <c r="B414" s="454" t="s">
        <v>954</v>
      </c>
      <c r="C414" s="469" t="s">
        <v>2695</v>
      </c>
      <c r="D414" s="456" t="s">
        <v>53</v>
      </c>
      <c r="E414" s="457" t="s">
        <v>956</v>
      </c>
      <c r="F414" s="458">
        <v>1</v>
      </c>
      <c r="G414" s="459"/>
      <c r="H414" s="460"/>
      <c r="I414" s="460" t="s">
        <v>591</v>
      </c>
      <c r="J414" s="460"/>
      <c r="K414" s="460" t="s">
        <v>1411</v>
      </c>
      <c r="L414" s="460">
        <v>60004852</v>
      </c>
      <c r="M414" s="461">
        <v>45607</v>
      </c>
      <c r="N414" s="461">
        <v>45635</v>
      </c>
      <c r="O414" s="470" t="s">
        <v>281</v>
      </c>
      <c r="P414" s="463" t="str">
        <f>IF(LEFT(B414,5)="09735",
    IF(ISNA(VLOOKUP(Tabla13[[#This Row],[Apoyo]],'LM SAP'!A:G,1,FALSE)),
        "No Disponible",
        IF(VLOOKUP(Tabla13[[#This Row],[Apoyo]],'LM SAP'!A:AD,9,FALSE)="RR",
            "Disponible",
            "Firmas SAP"
        )
    ),
    "CONSULTAR"
)</f>
        <v>No Disponible</v>
      </c>
      <c r="Q414" s="460" t="str">
        <f>MID(Tabla13[[#This Row],[Código Indra]],1,13)</f>
        <v>0973545051500</v>
      </c>
      <c r="R414" s="464" t="str">
        <f>IF(ISNA(VLOOKUP(Tabla13[[#This Row],[Código Indra]],#REF!,1,FALSE)),"NO", "SI")</f>
        <v>SI</v>
      </c>
      <c r="S414" s="460" t="str">
        <f>IF(ISNA(VLOOKUP(Tabla13[[#This Row],[Código Indra]],Tabla132[[Código INDRA]:[Nombre]],1,FALSE)),"NO", "SI")</f>
        <v>NO</v>
      </c>
      <c r="T414" s="465" t="s">
        <v>2005</v>
      </c>
      <c r="U414" s="464" t="s">
        <v>256</v>
      </c>
      <c r="V414" s="464" t="e">
        <f>VLOOKUP(Tabla13[[#This Row],[Apoyo]],'LM SAP'!A:I,9,FALSE)</f>
        <v>#N/A</v>
      </c>
      <c r="W414" s="464"/>
      <c r="X414" s="466">
        <v>4</v>
      </c>
      <c r="Y414" s="464">
        <f>Tabla13[[#This Row],[ID]]</f>
        <v>403</v>
      </c>
    </row>
    <row r="415" spans="1:25" s="550" customFormat="1" ht="24" x14ac:dyDescent="0.25">
      <c r="A415" s="453">
        <v>404</v>
      </c>
      <c r="B415" s="454" t="s">
        <v>957</v>
      </c>
      <c r="C415" s="469" t="s">
        <v>2696</v>
      </c>
      <c r="D415" s="456" t="s">
        <v>53</v>
      </c>
      <c r="E415" s="457" t="s">
        <v>959</v>
      </c>
      <c r="F415" s="458">
        <v>1</v>
      </c>
      <c r="G415" s="459"/>
      <c r="H415" s="460"/>
      <c r="I415" s="460" t="s">
        <v>591</v>
      </c>
      <c r="J415" s="460"/>
      <c r="K415" s="460" t="s">
        <v>1411</v>
      </c>
      <c r="L415" s="460">
        <v>60004853</v>
      </c>
      <c r="M415" s="461">
        <v>45607</v>
      </c>
      <c r="N415" s="461">
        <v>45635</v>
      </c>
      <c r="O415" s="470" t="s">
        <v>281</v>
      </c>
      <c r="P415" s="463" t="str">
        <f>IF(LEFT(B415,5)="09735",
    IF(ISNA(VLOOKUP(Tabla13[[#This Row],[Apoyo]],'LM SAP'!A:G,1,FALSE)),
        "No Disponible",
        IF(VLOOKUP(Tabla13[[#This Row],[Apoyo]],'LM SAP'!A:AD,9,FALSE)="RR",
            "Disponible",
            "Firmas SAP"
        )
    ),
    "CONSULTAR"
)</f>
        <v>No Disponible</v>
      </c>
      <c r="Q415" s="460" t="str">
        <f>MID(Tabla13[[#This Row],[Código Indra]],1,13)</f>
        <v>0973545051600</v>
      </c>
      <c r="R415" s="464" t="str">
        <f>IF(ISNA(VLOOKUP(Tabla13[[#This Row],[Código Indra]],#REF!,1,FALSE)),"NO", "SI")</f>
        <v>SI</v>
      </c>
      <c r="S415" s="460" t="str">
        <f>IF(ISNA(VLOOKUP(Tabla13[[#This Row],[Código Indra]],Tabla132[[Código INDRA]:[Nombre]],1,FALSE)),"NO", "SI")</f>
        <v>NO</v>
      </c>
      <c r="T415" s="465" t="s">
        <v>2005</v>
      </c>
      <c r="U415" s="464" t="s">
        <v>256</v>
      </c>
      <c r="V415" s="464" t="e">
        <f>VLOOKUP(Tabla13[[#This Row],[Apoyo]],'LM SAP'!A:I,9,FALSE)</f>
        <v>#N/A</v>
      </c>
      <c r="W415" s="464"/>
      <c r="X415" s="466">
        <v>4</v>
      </c>
      <c r="Y415" s="464">
        <f>Tabla13[[#This Row],[ID]]</f>
        <v>404</v>
      </c>
    </row>
    <row r="416" spans="1:25" s="464" customFormat="1" ht="24" x14ac:dyDescent="0.25">
      <c r="A416" s="453">
        <v>405</v>
      </c>
      <c r="B416" s="454" t="s">
        <v>960</v>
      </c>
      <c r="C416" s="469" t="s">
        <v>2697</v>
      </c>
      <c r="D416" s="456" t="s">
        <v>53</v>
      </c>
      <c r="E416" s="457" t="s">
        <v>962</v>
      </c>
      <c r="F416" s="458">
        <v>1</v>
      </c>
      <c r="G416" s="465"/>
      <c r="H416" s="460"/>
      <c r="I416" s="460" t="s">
        <v>591</v>
      </c>
      <c r="J416" s="460"/>
      <c r="K416" s="460" t="s">
        <v>1411</v>
      </c>
      <c r="L416" s="460">
        <v>60004854</v>
      </c>
      <c r="M416" s="461">
        <v>45607</v>
      </c>
      <c r="N416" s="461">
        <v>45635</v>
      </c>
      <c r="O416" s="470" t="s">
        <v>281</v>
      </c>
      <c r="P416" s="463" t="str">
        <f>IF(LEFT(B416,5)="09735",
    IF(ISNA(VLOOKUP(Tabla13[[#This Row],[Apoyo]],'LM SAP'!A:G,1,FALSE)),
        "No Disponible",
        IF(VLOOKUP(Tabla13[[#This Row],[Apoyo]],'LM SAP'!A:AD,9,FALSE)="RR",
            "Disponible",
            "Firmas SAP"
        )
    ),
    "CONSULTAR"
)</f>
        <v>No Disponible</v>
      </c>
      <c r="Q416" s="460" t="str">
        <f>MID(Tabla13[[#This Row],[Código Indra]],1,13)</f>
        <v>0973545051700</v>
      </c>
      <c r="R416" s="464" t="str">
        <f>IF(ISNA(VLOOKUP(Tabla13[[#This Row],[Código Indra]],#REF!,1,FALSE)),"NO", "SI")</f>
        <v>SI</v>
      </c>
      <c r="S416" s="460" t="str">
        <f>IF(ISNA(VLOOKUP(Tabla13[[#This Row],[Código Indra]],Tabla132[[Código INDRA]:[Nombre]],1,FALSE)),"NO", "SI")</f>
        <v>NO</v>
      </c>
      <c r="T416" s="465" t="s">
        <v>2005</v>
      </c>
      <c r="U416" s="464" t="s">
        <v>256</v>
      </c>
      <c r="V416" s="464" t="e">
        <f>VLOOKUP(Tabla13[[#This Row],[Apoyo]],'LM SAP'!A:I,9,FALSE)</f>
        <v>#N/A</v>
      </c>
      <c r="X416" s="466">
        <v>4</v>
      </c>
      <c r="Y416" s="464">
        <f>Tabla13[[#This Row],[ID]]</f>
        <v>405</v>
      </c>
    </row>
    <row r="417" spans="1:25" s="464" customFormat="1" ht="36" x14ac:dyDescent="0.25">
      <c r="A417" s="453">
        <v>406</v>
      </c>
      <c r="B417" s="454" t="s">
        <v>990</v>
      </c>
      <c r="C417" s="469" t="s">
        <v>991</v>
      </c>
      <c r="D417" s="456" t="s">
        <v>53</v>
      </c>
      <c r="E417" s="457" t="s">
        <v>992</v>
      </c>
      <c r="F417" s="458">
        <v>1</v>
      </c>
      <c r="G417" s="465"/>
      <c r="H417" s="460"/>
      <c r="I417" s="460" t="s">
        <v>591</v>
      </c>
      <c r="J417" s="460"/>
      <c r="K417" s="460" t="s">
        <v>1411</v>
      </c>
      <c r="L417" s="460">
        <v>60004855</v>
      </c>
      <c r="M417" s="461">
        <v>45607</v>
      </c>
      <c r="N417" s="461">
        <v>45611</v>
      </c>
      <c r="O417" s="470" t="s">
        <v>993</v>
      </c>
      <c r="P417" s="463" t="str">
        <f>IF(LEFT(B417,5)="09735",
    IF(ISNA(VLOOKUP(Tabla13[[#This Row],[Apoyo]],'LM SAP'!A:G,1,FALSE)),
        "No Disponible",
        IF(VLOOKUP(Tabla13[[#This Row],[Apoyo]],'LM SAP'!A:AD,9,FALSE)="RR",
            "Disponible",
            "Firmas SAP"
        )
    ),
    "CONSULTAR"
)</f>
        <v>No Disponible</v>
      </c>
      <c r="Q417" s="460" t="str">
        <f>MID(Tabla13[[#This Row],[Código Indra]],1,13)</f>
        <v>0973545051800</v>
      </c>
      <c r="R417" s="464" t="str">
        <f>IF(ISNA(VLOOKUP(Tabla13[[#This Row],[Código Indra]],#REF!,1,FALSE)),"NO", "SI")</f>
        <v>SI</v>
      </c>
      <c r="S417" s="460" t="str">
        <f>IF(ISNA(VLOOKUP(Tabla13[[#This Row],[Código Indra]],Tabla132[[Código INDRA]:[Nombre]],1,FALSE)),"NO", "SI")</f>
        <v>NO</v>
      </c>
      <c r="T417" s="465" t="s">
        <v>2005</v>
      </c>
      <c r="U417" s="464" t="s">
        <v>256</v>
      </c>
      <c r="V417" s="464" t="e">
        <f>VLOOKUP(Tabla13[[#This Row],[Apoyo]],'LM SAP'!A:I,9,FALSE)</f>
        <v>#N/A</v>
      </c>
      <c r="W417" s="464" t="s">
        <v>234</v>
      </c>
      <c r="X417" s="466">
        <v>4</v>
      </c>
      <c r="Y417" s="464">
        <f>Tabla13[[#This Row],[ID]]</f>
        <v>406</v>
      </c>
    </row>
    <row r="418" spans="1:25" s="464" customFormat="1" ht="120" x14ac:dyDescent="0.25">
      <c r="A418" s="453">
        <v>407</v>
      </c>
      <c r="B418" s="480" t="s">
        <v>994</v>
      </c>
      <c r="C418" s="469" t="s">
        <v>995</v>
      </c>
      <c r="D418" s="456" t="s">
        <v>53</v>
      </c>
      <c r="E418" s="457" t="s">
        <v>996</v>
      </c>
      <c r="F418" s="458">
        <v>1</v>
      </c>
      <c r="G418" s="459"/>
      <c r="H418" s="460"/>
      <c r="I418" s="460" t="s">
        <v>591</v>
      </c>
      <c r="J418" s="460"/>
      <c r="K418" s="460" t="s">
        <v>1411</v>
      </c>
      <c r="L418" s="460">
        <v>60004856</v>
      </c>
      <c r="M418" s="461">
        <v>45607</v>
      </c>
      <c r="N418" s="461">
        <v>45622</v>
      </c>
      <c r="O418" s="551" t="s">
        <v>2698</v>
      </c>
      <c r="P418" s="463" t="str">
        <f>IF(LEFT(B418,5)="09735",
    IF(ISNA(VLOOKUP(Tabla13[[#This Row],[Apoyo]],'LM SAP'!A:G,1,FALSE)),
        "No Disponible",
        IF(VLOOKUP(Tabla13[[#This Row],[Apoyo]],'LM SAP'!A:AD,9,FALSE)="RR",
            "Disponible",
            "Firmas SAP"
        )
    ),
    "CONSULTAR"
)</f>
        <v>No Disponible</v>
      </c>
      <c r="Q418" s="460" t="str">
        <f>MID(Tabla13[[#This Row],[Código Indra]],1,13)</f>
        <v>0973545051900</v>
      </c>
      <c r="R418" s="464" t="str">
        <f>IF(ISNA(VLOOKUP(Tabla13[[#This Row],[Código Indra]],#REF!,1,FALSE)),"NO", "SI")</f>
        <v>SI</v>
      </c>
      <c r="S418" s="460" t="str">
        <f>IF(ISNA(VLOOKUP(Tabla13[[#This Row],[Código Indra]],Tabla132[[Código INDRA]:[Nombre]],1,FALSE)),"NO", "SI")</f>
        <v>NO</v>
      </c>
      <c r="T418" s="465" t="s">
        <v>2005</v>
      </c>
      <c r="U418" s="464" t="s">
        <v>256</v>
      </c>
      <c r="V418" s="464" t="e">
        <f>VLOOKUP(Tabla13[[#This Row],[Apoyo]],'LM SAP'!A:I,9,FALSE)</f>
        <v>#N/A</v>
      </c>
      <c r="W418" s="464" t="s">
        <v>234</v>
      </c>
      <c r="X418" s="466">
        <v>4</v>
      </c>
      <c r="Y418" s="464">
        <f>Tabla13[[#This Row],[ID]]</f>
        <v>407</v>
      </c>
    </row>
    <row r="419" spans="1:25" s="464" customFormat="1" ht="36" x14ac:dyDescent="0.25">
      <c r="A419" s="453">
        <v>408</v>
      </c>
      <c r="B419" s="454" t="s">
        <v>998</v>
      </c>
      <c r="C419" s="469" t="s">
        <v>999</v>
      </c>
      <c r="D419" s="456" t="s">
        <v>53</v>
      </c>
      <c r="E419" s="457" t="s">
        <v>1000</v>
      </c>
      <c r="F419" s="458">
        <v>1</v>
      </c>
      <c r="G419" s="465"/>
      <c r="H419" s="460"/>
      <c r="I419" s="460" t="s">
        <v>591</v>
      </c>
      <c r="J419" s="460"/>
      <c r="K419" s="460" t="s">
        <v>1411</v>
      </c>
      <c r="L419" s="460">
        <v>60004857</v>
      </c>
      <c r="M419" s="461">
        <v>45607</v>
      </c>
      <c r="N419" s="461">
        <v>45611</v>
      </c>
      <c r="O419" s="470" t="s">
        <v>1001</v>
      </c>
      <c r="P419" s="463" t="str">
        <f>IF(LEFT(B419,5)="09735",
    IF(ISNA(VLOOKUP(Tabla13[[#This Row],[Apoyo]],'LM SAP'!A:G,1,FALSE)),
        "No Disponible",
        IF(VLOOKUP(Tabla13[[#This Row],[Apoyo]],'LM SAP'!A:AD,9,FALSE)="RR",
            "Disponible",
            "Firmas SAP"
        )
    ),
    "CONSULTAR"
)</f>
        <v>Disponible</v>
      </c>
      <c r="Q419" s="460" t="str">
        <f>MID(Tabla13[[#This Row],[Código Indra]],1,13)</f>
        <v>0973545052200</v>
      </c>
      <c r="R419" s="464" t="str">
        <f>IF(ISNA(VLOOKUP(Tabla13[[#This Row],[Código Indra]],#REF!,1,FALSE)),"NO", "SI")</f>
        <v>SI</v>
      </c>
      <c r="S419" s="460" t="str">
        <f>IF(ISNA(VLOOKUP(Tabla13[[#This Row],[Código Indra]],Tabla132[[Código INDRA]:[Nombre]],1,FALSE)),"NO", "SI")</f>
        <v>NO</v>
      </c>
      <c r="T419" s="465" t="s">
        <v>2005</v>
      </c>
      <c r="U419" s="464" t="s">
        <v>256</v>
      </c>
      <c r="V419" s="464" t="str">
        <f>VLOOKUP(Tabla13[[#This Row],[Apoyo]],'LM SAP'!A:I,9,FALSE)</f>
        <v>RR</v>
      </c>
      <c r="X419" s="466">
        <v>4</v>
      </c>
      <c r="Y419" s="464">
        <f>Tabla13[[#This Row],[ID]]</f>
        <v>408</v>
      </c>
    </row>
    <row r="420" spans="1:25" s="464" customFormat="1" ht="24" x14ac:dyDescent="0.25">
      <c r="A420" s="453">
        <v>409</v>
      </c>
      <c r="B420" s="454" t="s">
        <v>1015</v>
      </c>
      <c r="C420" s="469" t="s">
        <v>1016</v>
      </c>
      <c r="D420" s="456" t="s">
        <v>53</v>
      </c>
      <c r="E420" s="457" t="s">
        <v>1017</v>
      </c>
      <c r="F420" s="458">
        <v>1</v>
      </c>
      <c r="G420" s="465"/>
      <c r="H420" s="460"/>
      <c r="I420" s="460" t="s">
        <v>591</v>
      </c>
      <c r="J420" s="460"/>
      <c r="K420" s="460" t="s">
        <v>1411</v>
      </c>
      <c r="L420" s="460">
        <v>60004860</v>
      </c>
      <c r="M420" s="461">
        <v>45607</v>
      </c>
      <c r="N420" s="461">
        <v>45635</v>
      </c>
      <c r="O420" s="470" t="s">
        <v>281</v>
      </c>
      <c r="P420" s="463" t="str">
        <f>IF(LEFT(B420,5)="09735",
    IF(ISNA(VLOOKUP(Tabla13[[#This Row],[Apoyo]],'LM SAP'!A:G,1,FALSE)),
        "No Disponible",
        IF(VLOOKUP(Tabla13[[#This Row],[Apoyo]],'LM SAP'!A:AD,9,FALSE)="RR",
            "Disponible",
            "Firmas SAP"
        )
    ),
    "CONSULTAR"
)</f>
        <v>No Disponible</v>
      </c>
      <c r="Q420" s="460" t="str">
        <f>MID(Tabla13[[#This Row],[Código Indra]],1,13)</f>
        <v>0973545052300</v>
      </c>
      <c r="R420" s="464" t="str">
        <f>IF(ISNA(VLOOKUP(Tabla13[[#This Row],[Código Indra]],#REF!,1,FALSE)),"NO", "SI")</f>
        <v>SI</v>
      </c>
      <c r="S420" s="460" t="str">
        <f>IF(ISNA(VLOOKUP(Tabla13[[#This Row],[Código Indra]],Tabla132[[Código INDRA]:[Nombre]],1,FALSE)),"NO", "SI")</f>
        <v>NO</v>
      </c>
      <c r="T420" s="465" t="s">
        <v>2005</v>
      </c>
      <c r="U420" s="464" t="s">
        <v>256</v>
      </c>
      <c r="V420" s="464" t="e">
        <f>VLOOKUP(Tabla13[[#This Row],[Apoyo]],'LM SAP'!A:I,9,FALSE)</f>
        <v>#N/A</v>
      </c>
      <c r="X420" s="466">
        <v>4</v>
      </c>
      <c r="Y420" s="464">
        <f>Tabla13[[#This Row],[ID]]</f>
        <v>409</v>
      </c>
    </row>
    <row r="421" spans="1:25" s="464" customFormat="1" ht="24" x14ac:dyDescent="0.25">
      <c r="A421" s="453">
        <v>410</v>
      </c>
      <c r="B421" s="454" t="s">
        <v>1002</v>
      </c>
      <c r="C421" s="469" t="s">
        <v>1003</v>
      </c>
      <c r="D421" s="456" t="s">
        <v>53</v>
      </c>
      <c r="E421" s="457" t="s">
        <v>1004</v>
      </c>
      <c r="F421" s="458">
        <v>1</v>
      </c>
      <c r="G421" s="459"/>
      <c r="H421" s="460"/>
      <c r="I421" s="460" t="s">
        <v>591</v>
      </c>
      <c r="J421" s="460"/>
      <c r="K421" s="460" t="s">
        <v>1411</v>
      </c>
      <c r="L421" s="460">
        <v>60004858</v>
      </c>
      <c r="M421" s="461">
        <v>45607</v>
      </c>
      <c r="N421" s="461">
        <v>45635</v>
      </c>
      <c r="O421" s="470" t="s">
        <v>281</v>
      </c>
      <c r="P421" s="463" t="str">
        <f>IF(LEFT(B421,5)="09735",
    IF(ISNA(VLOOKUP(Tabla13[[#This Row],[Apoyo]],'LM SAP'!A:G,1,FALSE)),
        "No Disponible",
        IF(VLOOKUP(Tabla13[[#This Row],[Apoyo]],'LM SAP'!A:AD,9,FALSE)="RR",
            "Disponible",
            "Firmas SAP"
        )
    ),
    "CONSULTAR"
)</f>
        <v>No Disponible</v>
      </c>
      <c r="Q421" s="460" t="str">
        <f>MID(Tabla13[[#This Row],[Código Indra]],1,13)</f>
        <v>0973545052400</v>
      </c>
      <c r="R421" s="464" t="str">
        <f>IF(ISNA(VLOOKUP(Tabla13[[#This Row],[Código Indra]],#REF!,1,FALSE)),"NO", "SI")</f>
        <v>SI</v>
      </c>
      <c r="S421" s="460" t="str">
        <f>IF(ISNA(VLOOKUP(Tabla13[[#This Row],[Código Indra]],Tabla132[[Código INDRA]:[Nombre]],1,FALSE)),"NO", "SI")</f>
        <v>NO</v>
      </c>
      <c r="T421" s="465" t="s">
        <v>2005</v>
      </c>
      <c r="U421" s="464" t="s">
        <v>256</v>
      </c>
      <c r="V421" s="464" t="e">
        <f>VLOOKUP(Tabla13[[#This Row],[Apoyo]],'LM SAP'!A:I,9,FALSE)</f>
        <v>#N/A</v>
      </c>
      <c r="X421" s="466">
        <v>4</v>
      </c>
      <c r="Y421" s="464">
        <f>Tabla13[[#This Row],[ID]]</f>
        <v>410</v>
      </c>
    </row>
    <row r="422" spans="1:25" s="464" customFormat="1" ht="36" x14ac:dyDescent="0.25">
      <c r="A422" s="453">
        <v>411</v>
      </c>
      <c r="B422" s="454" t="s">
        <v>1018</v>
      </c>
      <c r="C422" s="469" t="s">
        <v>1019</v>
      </c>
      <c r="D422" s="456" t="s">
        <v>53</v>
      </c>
      <c r="E422" s="457" t="s">
        <v>700</v>
      </c>
      <c r="F422" s="458">
        <v>1</v>
      </c>
      <c r="G422" s="459"/>
      <c r="H422" s="460"/>
      <c r="I422" s="460" t="s">
        <v>591</v>
      </c>
      <c r="J422" s="460"/>
      <c r="K422" s="460" t="s">
        <v>1411</v>
      </c>
      <c r="L422" s="460">
        <v>60004861</v>
      </c>
      <c r="M422" s="461">
        <v>45607</v>
      </c>
      <c r="N422" s="461">
        <v>45611</v>
      </c>
      <c r="O422" s="470" t="s">
        <v>1021</v>
      </c>
      <c r="P422" s="463" t="str">
        <f>IF(LEFT(B422,5)="09735",
    IF(ISNA(VLOOKUP(Tabla13[[#This Row],[Apoyo]],'LM SAP'!A:G,1,FALSE)),
        "No Disponible",
        IF(VLOOKUP(Tabla13[[#This Row],[Apoyo]],'LM SAP'!A:AD,9,FALSE)="RR",
            "Disponible",
            "Firmas SAP"
        )
    ),
    "CONSULTAR"
)</f>
        <v>No Disponible</v>
      </c>
      <c r="Q422" s="460" t="str">
        <f>MID(Tabla13[[#This Row],[Código Indra]],1,13)</f>
        <v>0973545052600</v>
      </c>
      <c r="R422" s="464" t="str">
        <f>IF(ISNA(VLOOKUP(Tabla13[[#This Row],[Código Indra]],#REF!,1,FALSE)),"NO", "SI")</f>
        <v>SI</v>
      </c>
      <c r="S422" s="460" t="str">
        <f>IF(ISNA(VLOOKUP(Tabla13[[#This Row],[Código Indra]],Tabla132[[Código INDRA]:[Nombre]],1,FALSE)),"NO", "SI")</f>
        <v>SI</v>
      </c>
      <c r="T422" s="465" t="s">
        <v>2005</v>
      </c>
      <c r="U422" s="464" t="s">
        <v>256</v>
      </c>
      <c r="V422" s="464" t="e">
        <f>VLOOKUP(Tabla13[[#This Row],[Apoyo]],'LM SAP'!A:I,9,FALSE)</f>
        <v>#N/A</v>
      </c>
      <c r="W422" s="464" t="s">
        <v>234</v>
      </c>
      <c r="X422" s="466">
        <v>4</v>
      </c>
      <c r="Y422" s="464">
        <f>Tabla13[[#This Row],[ID]]</f>
        <v>411</v>
      </c>
    </row>
    <row r="423" spans="1:25" s="464" customFormat="1" ht="36" x14ac:dyDescent="0.25">
      <c r="A423" s="453">
        <v>412</v>
      </c>
      <c r="B423" s="454" t="s">
        <v>1022</v>
      </c>
      <c r="C423" s="469" t="s">
        <v>1023</v>
      </c>
      <c r="D423" s="456" t="s">
        <v>53</v>
      </c>
      <c r="E423" s="457" t="s">
        <v>700</v>
      </c>
      <c r="F423" s="458">
        <v>1</v>
      </c>
      <c r="G423" s="459"/>
      <c r="H423" s="460"/>
      <c r="I423" s="460" t="s">
        <v>591</v>
      </c>
      <c r="J423" s="460"/>
      <c r="K423" s="460" t="s">
        <v>1411</v>
      </c>
      <c r="L423" s="460">
        <v>60004862</v>
      </c>
      <c r="M423" s="461">
        <v>45607</v>
      </c>
      <c r="N423" s="461">
        <v>45611</v>
      </c>
      <c r="O423" s="470" t="s">
        <v>1025</v>
      </c>
      <c r="P423" s="463" t="str">
        <f>IF(LEFT(B423,5)="09735",
    IF(ISNA(VLOOKUP(Tabla13[[#This Row],[Apoyo]],'LM SAP'!A:G,1,FALSE)),
        "No Disponible",
        IF(VLOOKUP(Tabla13[[#This Row],[Apoyo]],'LM SAP'!A:AD,9,FALSE)="RR",
            "Disponible",
            "Firmas SAP"
        )
    ),
    "CONSULTAR"
)</f>
        <v>No Disponible</v>
      </c>
      <c r="Q423" s="460" t="str">
        <f>MID(Tabla13[[#This Row],[Código Indra]],1,13)</f>
        <v>0973545052700</v>
      </c>
      <c r="R423" s="464" t="str">
        <f>IF(ISNA(VLOOKUP(Tabla13[[#This Row],[Código Indra]],#REF!,1,FALSE)),"NO", "SI")</f>
        <v>SI</v>
      </c>
      <c r="S423" s="460" t="str">
        <f>IF(ISNA(VLOOKUP(Tabla13[[#This Row],[Código Indra]],Tabla132[[Código INDRA]:[Nombre]],1,FALSE)),"NO", "SI")</f>
        <v>NO</v>
      </c>
      <c r="T423" s="465" t="s">
        <v>2005</v>
      </c>
      <c r="U423" s="464" t="s">
        <v>256</v>
      </c>
      <c r="V423" s="464" t="e">
        <f>VLOOKUP(Tabla13[[#This Row],[Apoyo]],'LM SAP'!A:I,9,FALSE)</f>
        <v>#N/A</v>
      </c>
      <c r="W423" s="464" t="s">
        <v>234</v>
      </c>
      <c r="X423" s="466">
        <v>4</v>
      </c>
      <c r="Y423" s="464">
        <f>Tabla13[[#This Row],[ID]]</f>
        <v>412</v>
      </c>
    </row>
    <row r="424" spans="1:25" s="464" customFormat="1" ht="36" x14ac:dyDescent="0.25">
      <c r="A424" s="453">
        <v>413</v>
      </c>
      <c r="B424" s="480" t="s">
        <v>1026</v>
      </c>
      <c r="C424" s="469" t="s">
        <v>1027</v>
      </c>
      <c r="D424" s="456" t="s">
        <v>53</v>
      </c>
      <c r="E424" s="457" t="s">
        <v>700</v>
      </c>
      <c r="F424" s="458">
        <v>1</v>
      </c>
      <c r="G424" s="459"/>
      <c r="H424" s="460"/>
      <c r="I424" s="460" t="s">
        <v>591</v>
      </c>
      <c r="J424" s="460"/>
      <c r="K424" s="460" t="s">
        <v>1411</v>
      </c>
      <c r="L424" s="460">
        <v>60004863</v>
      </c>
      <c r="M424" s="461">
        <v>45607</v>
      </c>
      <c r="N424" s="461">
        <v>45611</v>
      </c>
      <c r="O424" s="470" t="s">
        <v>1029</v>
      </c>
      <c r="P424" s="463" t="str">
        <f>IF(LEFT(B424,5)="09735",
    IF(ISNA(VLOOKUP(Tabla13[[#This Row],[Apoyo]],'LM SAP'!A:G,1,FALSE)),
        "No Disponible",
        IF(VLOOKUP(Tabla13[[#This Row],[Apoyo]],'LM SAP'!A:AD,9,FALSE)="RR",
            "Disponible",
            "Firmas SAP"
        )
    ),
    "CONSULTAR"
)</f>
        <v>No Disponible</v>
      </c>
      <c r="Q424" s="460" t="str">
        <f>MID(Tabla13[[#This Row],[Código Indra]],1,13)</f>
        <v>0973545052800</v>
      </c>
      <c r="R424" s="464" t="str">
        <f>IF(ISNA(VLOOKUP(Tabla13[[#This Row],[Código Indra]],#REF!,1,FALSE)),"NO", "SI")</f>
        <v>SI</v>
      </c>
      <c r="S424" s="460" t="str">
        <f>IF(ISNA(VLOOKUP(Tabla13[[#This Row],[Código Indra]],Tabla132[[Código INDRA]:[Nombre]],1,FALSE)),"NO", "SI")</f>
        <v>NO</v>
      </c>
      <c r="T424" s="465" t="s">
        <v>2005</v>
      </c>
      <c r="U424" s="464" t="s">
        <v>256</v>
      </c>
      <c r="V424" s="464" t="e">
        <f>VLOOKUP(Tabla13[[#This Row],[Apoyo]],'LM SAP'!A:I,9,FALSE)</f>
        <v>#N/A</v>
      </c>
      <c r="X424" s="466">
        <v>4</v>
      </c>
      <c r="Y424" s="464">
        <f>Tabla13[[#This Row],[ID]]</f>
        <v>413</v>
      </c>
    </row>
    <row r="425" spans="1:25" s="464" customFormat="1" ht="36" x14ac:dyDescent="0.25">
      <c r="A425" s="453">
        <v>414</v>
      </c>
      <c r="B425" s="480" t="s">
        <v>2699</v>
      </c>
      <c r="C425" s="469" t="s">
        <v>2700</v>
      </c>
      <c r="D425" s="456" t="s">
        <v>53</v>
      </c>
      <c r="E425" s="457" t="s">
        <v>2701</v>
      </c>
      <c r="F425" s="458">
        <v>1</v>
      </c>
      <c r="G425" s="459"/>
      <c r="H425" s="460"/>
      <c r="I425" s="460" t="s">
        <v>276</v>
      </c>
      <c r="J425" s="460"/>
      <c r="K425" s="460" t="s">
        <v>1411</v>
      </c>
      <c r="L425" s="460">
        <v>60005550</v>
      </c>
      <c r="M425" s="461">
        <v>45678</v>
      </c>
      <c r="N425" s="461">
        <v>45687</v>
      </c>
      <c r="O425" s="470" t="s">
        <v>2702</v>
      </c>
      <c r="P425" s="463" t="str">
        <f>IF(LEFT(B425,5)="09735",
    IF(ISNA(VLOOKUP(Tabla13[[#This Row],[Apoyo]],'LM SAP'!A:G,1,FALSE)),
        "No Disponible",
        IF(VLOOKUP(Tabla13[[#This Row],[Apoyo]],'LM SAP'!A:AD,9,FALSE)="RR",
            "Disponible",
            "Firmas SAP"
        )
    ),
    "CONSULTAR"
)</f>
        <v>No Disponible</v>
      </c>
      <c r="Q425" s="460" t="str">
        <f>MID(Tabla13[[#This Row],[Código Indra]],1,13)</f>
        <v>0973545053800</v>
      </c>
      <c r="R425" s="464" t="str">
        <f>IF(ISNA(VLOOKUP(Tabla13[[#This Row],[Código Indra]],#REF!,1,FALSE)),"NO", "SI")</f>
        <v>SI</v>
      </c>
      <c r="S425" s="460" t="str">
        <f>IF(ISNA(VLOOKUP(Tabla13[[#This Row],[Código Indra]],Tabla132[[Código INDRA]:[Nombre]],1,FALSE)),"NO", "SI")</f>
        <v>NO</v>
      </c>
      <c r="T425" s="465" t="s">
        <v>2005</v>
      </c>
      <c r="U425" s="464" t="s">
        <v>256</v>
      </c>
      <c r="V425" s="464" t="e">
        <f>VLOOKUP(Tabla13[[#This Row],[Apoyo]],'LM SAP'!A:I,9,FALSE)</f>
        <v>#N/A</v>
      </c>
      <c r="X425" s="466"/>
      <c r="Y425" s="464">
        <f>Tabla13[[#This Row],[ID]]</f>
        <v>414</v>
      </c>
    </row>
    <row r="426" spans="1:25" s="464" customFormat="1" ht="72" x14ac:dyDescent="0.25">
      <c r="A426" s="453">
        <v>415</v>
      </c>
      <c r="B426" s="454" t="s">
        <v>1030</v>
      </c>
      <c r="C426" s="469" t="s">
        <v>1031</v>
      </c>
      <c r="D426" s="456" t="s">
        <v>53</v>
      </c>
      <c r="E426" s="457" t="s">
        <v>700</v>
      </c>
      <c r="F426" s="458">
        <v>1</v>
      </c>
      <c r="G426" s="459"/>
      <c r="H426" s="460"/>
      <c r="I426" s="460" t="s">
        <v>591</v>
      </c>
      <c r="J426" s="460"/>
      <c r="K426" s="460" t="s">
        <v>1411</v>
      </c>
      <c r="L426" s="460">
        <v>60004864</v>
      </c>
      <c r="M426" s="461">
        <v>45607</v>
      </c>
      <c r="N426" s="461">
        <v>45611</v>
      </c>
      <c r="O426" s="470" t="s">
        <v>2703</v>
      </c>
      <c r="P426" s="463" t="str">
        <f>IF(LEFT(B426,5)="09735",
    IF(ISNA(VLOOKUP(Tabla13[[#This Row],[Apoyo]],'LM SAP'!A:G,1,FALSE)),
        "No Disponible",
        IF(VLOOKUP(Tabla13[[#This Row],[Apoyo]],'LM SAP'!A:AD,9,FALSE)="RR",
            "Disponible",
            "Firmas SAP"
        )
    ),
    "CONSULTAR"
)</f>
        <v>No Disponible</v>
      </c>
      <c r="Q426" s="460" t="str">
        <f>MID(Tabla13[[#This Row],[Código Indra]],1,13)</f>
        <v>0973545054100</v>
      </c>
      <c r="R426" s="464" t="str">
        <f>IF(ISNA(VLOOKUP(Tabla13[[#This Row],[Código Indra]],#REF!,1,FALSE)),"NO", "SI")</f>
        <v>SI</v>
      </c>
      <c r="S426" s="460" t="str">
        <f>IF(ISNA(VLOOKUP(Tabla13[[#This Row],[Código Indra]],Tabla132[[Código INDRA]:[Nombre]],1,FALSE)),"NO", "SI")</f>
        <v>NO</v>
      </c>
      <c r="T426" s="465" t="s">
        <v>2005</v>
      </c>
      <c r="U426" s="464" t="s">
        <v>256</v>
      </c>
      <c r="V426" s="464" t="e">
        <f>VLOOKUP(Tabla13[[#This Row],[Apoyo]],'LM SAP'!A:I,9,FALSE)</f>
        <v>#N/A</v>
      </c>
      <c r="W426" s="464" t="s">
        <v>234</v>
      </c>
      <c r="X426" s="466">
        <v>4</v>
      </c>
      <c r="Y426" s="464">
        <f>Tabla13[[#This Row],[ID]]</f>
        <v>415</v>
      </c>
    </row>
    <row r="427" spans="1:25" s="464" customFormat="1" x14ac:dyDescent="0.25">
      <c r="A427" s="453">
        <v>416</v>
      </c>
      <c r="B427" s="454" t="s">
        <v>1034</v>
      </c>
      <c r="C427" s="469" t="s">
        <v>1035</v>
      </c>
      <c r="D427" s="456" t="s">
        <v>53</v>
      </c>
      <c r="E427" s="457" t="s">
        <v>700</v>
      </c>
      <c r="F427" s="458">
        <v>1</v>
      </c>
      <c r="G427" s="459"/>
      <c r="H427" s="460"/>
      <c r="I427" s="460" t="s">
        <v>591</v>
      </c>
      <c r="J427" s="460"/>
      <c r="K427" s="460" t="s">
        <v>1411</v>
      </c>
      <c r="L427" s="460">
        <v>60004865</v>
      </c>
      <c r="M427" s="461">
        <v>45607</v>
      </c>
      <c r="N427" s="461">
        <v>45616</v>
      </c>
      <c r="O427" s="470" t="s">
        <v>281</v>
      </c>
      <c r="P427" s="463" t="str">
        <f>IF(LEFT(B427,5)="09735",
    IF(ISNA(VLOOKUP(Tabla13[[#This Row],[Apoyo]],'LM SAP'!A:G,1,FALSE)),
        "No Disponible",
        IF(VLOOKUP(Tabla13[[#This Row],[Apoyo]],'LM SAP'!A:AD,9,FALSE)="RR",
            "Disponible",
            "Firmas SAP"
        )
    ),
    "CONSULTAR"
)</f>
        <v>No Disponible</v>
      </c>
      <c r="Q427" s="460" t="str">
        <f>MID(Tabla13[[#This Row],[Código Indra]],1,13)</f>
        <v>0973545054200</v>
      </c>
      <c r="R427" s="464" t="str">
        <f>IF(ISNA(VLOOKUP(Tabla13[[#This Row],[Código Indra]],#REF!,1,FALSE)),"NO", "SI")</f>
        <v>SI</v>
      </c>
      <c r="S427" s="460" t="str">
        <f>IF(ISNA(VLOOKUP(Tabla13[[#This Row],[Código Indra]],Tabla132[[Código INDRA]:[Nombre]],1,FALSE)),"NO", "SI")</f>
        <v>NO</v>
      </c>
      <c r="T427" s="465" t="s">
        <v>2005</v>
      </c>
      <c r="U427" s="464" t="s">
        <v>256</v>
      </c>
      <c r="V427" s="464" t="e">
        <f>VLOOKUP(Tabla13[[#This Row],[Apoyo]],'LM SAP'!A:I,9,FALSE)</f>
        <v>#N/A</v>
      </c>
      <c r="W427" s="464" t="s">
        <v>234</v>
      </c>
      <c r="X427" s="466">
        <v>4</v>
      </c>
      <c r="Y427" s="464">
        <f>Tabla13[[#This Row],[ID]]</f>
        <v>416</v>
      </c>
    </row>
    <row r="428" spans="1:25" s="464" customFormat="1" ht="36" x14ac:dyDescent="0.25">
      <c r="A428" s="453">
        <v>417</v>
      </c>
      <c r="B428" s="454" t="s">
        <v>1037</v>
      </c>
      <c r="C428" s="469" t="s">
        <v>1038</v>
      </c>
      <c r="D428" s="456" t="s">
        <v>53</v>
      </c>
      <c r="E428" s="457" t="s">
        <v>700</v>
      </c>
      <c r="F428" s="458">
        <v>1</v>
      </c>
      <c r="G428" s="459"/>
      <c r="H428" s="460"/>
      <c r="I428" s="460" t="s">
        <v>591</v>
      </c>
      <c r="J428" s="460"/>
      <c r="K428" s="460" t="s">
        <v>1411</v>
      </c>
      <c r="L428" s="460">
        <v>60004866</v>
      </c>
      <c r="M428" s="461">
        <v>45607</v>
      </c>
      <c r="N428" s="461">
        <v>45624</v>
      </c>
      <c r="O428" s="470" t="s">
        <v>1040</v>
      </c>
      <c r="P428" s="463" t="str">
        <f>IF(LEFT(B428,5)="09735",
    IF(ISNA(VLOOKUP(Tabla13[[#This Row],[Apoyo]],'LM SAP'!A:G,1,FALSE)),
        "No Disponible",
        IF(VLOOKUP(Tabla13[[#This Row],[Apoyo]],'LM SAP'!A:AD,9,FALSE)="RR",
            "Disponible",
            "Firmas SAP"
        )
    ),
    "CONSULTAR"
)</f>
        <v>No Disponible</v>
      </c>
      <c r="Q428" s="460" t="str">
        <f>MID(Tabla13[[#This Row],[Código Indra]],1,13)</f>
        <v>0973545054300</v>
      </c>
      <c r="R428" s="464" t="str">
        <f>IF(ISNA(VLOOKUP(Tabla13[[#This Row],[Código Indra]],#REF!,1,FALSE)),"NO", "SI")</f>
        <v>SI</v>
      </c>
      <c r="S428" s="460" t="str">
        <f>IF(ISNA(VLOOKUP(Tabla13[[#This Row],[Código Indra]],Tabla132[[Código INDRA]:[Nombre]],1,FALSE)),"NO", "SI")</f>
        <v>NO</v>
      </c>
      <c r="T428" s="465" t="s">
        <v>2005</v>
      </c>
      <c r="U428" s="464" t="s">
        <v>256</v>
      </c>
      <c r="V428" s="464" t="e">
        <f>VLOOKUP(Tabla13[[#This Row],[Apoyo]],'LM SAP'!A:I,9,FALSE)</f>
        <v>#N/A</v>
      </c>
      <c r="W428" s="464" t="s">
        <v>234</v>
      </c>
      <c r="X428" s="466">
        <v>4</v>
      </c>
      <c r="Y428" s="464">
        <f>Tabla13[[#This Row],[ID]]</f>
        <v>417</v>
      </c>
    </row>
    <row r="429" spans="1:25" s="464" customFormat="1" x14ac:dyDescent="0.25">
      <c r="A429" s="453">
        <v>418</v>
      </c>
      <c r="B429" s="480" t="s">
        <v>1041</v>
      </c>
      <c r="C429" s="469" t="s">
        <v>1042</v>
      </c>
      <c r="D429" s="456" t="s">
        <v>53</v>
      </c>
      <c r="E429" s="457" t="s">
        <v>700</v>
      </c>
      <c r="F429" s="458">
        <v>1</v>
      </c>
      <c r="G429" s="459"/>
      <c r="H429" s="460"/>
      <c r="I429" s="460" t="s">
        <v>591</v>
      </c>
      <c r="J429" s="460"/>
      <c r="K429" s="460" t="s">
        <v>1411</v>
      </c>
      <c r="L429" s="460">
        <v>60004867</v>
      </c>
      <c r="M429" s="461">
        <v>45607</v>
      </c>
      <c r="N429" s="461">
        <v>45611</v>
      </c>
      <c r="O429" s="470" t="s">
        <v>1044</v>
      </c>
      <c r="P429" s="463" t="str">
        <f>IF(LEFT(B429,5)="09735",
    IF(ISNA(VLOOKUP(Tabla13[[#This Row],[Apoyo]],'LM SAP'!A:G,1,FALSE)),
        "No Disponible",
        IF(VLOOKUP(Tabla13[[#This Row],[Apoyo]],'LM SAP'!A:AD,9,FALSE)="RR",
            "Disponible",
            "Firmas SAP"
        )
    ),
    "CONSULTAR"
)</f>
        <v>No Disponible</v>
      </c>
      <c r="Q429" s="460" t="str">
        <f>MID(Tabla13[[#This Row],[Código Indra]],1,13)</f>
        <v>0973545054400</v>
      </c>
      <c r="R429" s="464" t="str">
        <f>IF(ISNA(VLOOKUP(Tabla13[[#This Row],[Código Indra]],#REF!,1,FALSE)),"NO", "SI")</f>
        <v>SI</v>
      </c>
      <c r="S429" s="460" t="str">
        <f>IF(ISNA(VLOOKUP(Tabla13[[#This Row],[Código Indra]],Tabla132[[Código INDRA]:[Nombre]],1,FALSE)),"NO", "SI")</f>
        <v>SI</v>
      </c>
      <c r="T429" s="465" t="s">
        <v>2005</v>
      </c>
      <c r="U429" s="464" t="s">
        <v>256</v>
      </c>
      <c r="V429" s="464" t="e">
        <f>VLOOKUP(Tabla13[[#This Row],[Apoyo]],'LM SAP'!A:I,9,FALSE)</f>
        <v>#N/A</v>
      </c>
      <c r="W429" s="464" t="s">
        <v>234</v>
      </c>
      <c r="X429" s="466">
        <v>4</v>
      </c>
      <c r="Y429" s="464">
        <f>Tabla13[[#This Row],[ID]]</f>
        <v>418</v>
      </c>
    </row>
    <row r="430" spans="1:25" s="464" customFormat="1" ht="120" x14ac:dyDescent="0.25">
      <c r="A430" s="453">
        <v>419</v>
      </c>
      <c r="B430" s="480" t="s">
        <v>19</v>
      </c>
      <c r="C430" s="455" t="s">
        <v>20</v>
      </c>
      <c r="D430" s="456"/>
      <c r="E430" s="457" t="s">
        <v>2704</v>
      </c>
      <c r="F430" s="458">
        <v>1</v>
      </c>
      <c r="G430" s="459"/>
      <c r="H430" s="460" t="s">
        <v>2000</v>
      </c>
      <c r="I430" s="460" t="s">
        <v>276</v>
      </c>
      <c r="J430" s="460"/>
      <c r="K430" s="460" t="s">
        <v>1411</v>
      </c>
      <c r="L430" s="460">
        <v>60005646</v>
      </c>
      <c r="M430" s="461">
        <v>45681</v>
      </c>
      <c r="N430" s="461">
        <v>45694</v>
      </c>
      <c r="O430" s="467" t="s">
        <v>2705</v>
      </c>
      <c r="P430" s="463" t="str">
        <f>IF(LEFT(B430,5)="09735",
    IF(ISNA(VLOOKUP(Tabla13[[#This Row],[Apoyo]],'LM SAP'!A:G,1,FALSE)),
        "No Disponible",
        IF(VLOOKUP(Tabla13[[#This Row],[Apoyo]],'LM SAP'!A:AD,9,FALSE)="RR",
            "Disponible",
            "Firmas SAP"
        )
    ),
    "CONSULTAR"
)</f>
        <v>No Disponible</v>
      </c>
      <c r="Q430" s="460" t="str">
        <f>MID(Tabla13[[#This Row],[Código Indra]],1,13)</f>
        <v>0973524430100</v>
      </c>
      <c r="R430" s="464" t="str">
        <f>IF(ISNA(VLOOKUP(Tabla13[[#This Row],[Código Indra]],#REF!,1,FALSE)),"NO", "SI")</f>
        <v>SI</v>
      </c>
      <c r="S430" s="460" t="str">
        <f>IF(ISNA(VLOOKUP(Tabla13[[#This Row],[Código Indra]],Tabla132[[Código INDRA]:[Nombre]],1,FALSE)),"NO", "SI")</f>
        <v>SI</v>
      </c>
      <c r="T430" s="465"/>
      <c r="U430" s="464" t="s">
        <v>227</v>
      </c>
      <c r="V430" s="464" t="e">
        <f>VLOOKUP(Tabla13[[#This Row],[Apoyo]],'LM SAP'!A:I,9,FALSE)</f>
        <v>#N/A</v>
      </c>
      <c r="W430" s="464" t="s">
        <v>234</v>
      </c>
      <c r="X430" s="466">
        <v>0</v>
      </c>
      <c r="Y430" s="464">
        <f>Tabla13[[#This Row],[ID]]</f>
        <v>419</v>
      </c>
    </row>
    <row r="431" spans="1:25" s="464" customFormat="1" ht="36" x14ac:dyDescent="0.25">
      <c r="A431" s="497">
        <v>420</v>
      </c>
      <c r="B431" s="498" t="s">
        <v>197</v>
      </c>
      <c r="C431" s="499" t="s">
        <v>198</v>
      </c>
      <c r="D431" s="500"/>
      <c r="E431" s="501" t="s">
        <v>2706</v>
      </c>
      <c r="F431" s="502">
        <v>1</v>
      </c>
      <c r="G431" s="503"/>
      <c r="H431" s="504" t="s">
        <v>2000</v>
      </c>
      <c r="I431" s="504" t="s">
        <v>669</v>
      </c>
      <c r="J431" s="504"/>
      <c r="K431" s="504" t="s">
        <v>220</v>
      </c>
      <c r="L431" s="504">
        <v>60006285</v>
      </c>
      <c r="M431" s="505">
        <v>45722</v>
      </c>
      <c r="N431" s="505">
        <v>45722</v>
      </c>
      <c r="O431" s="462" t="s">
        <v>2707</v>
      </c>
      <c r="P431" s="506" t="str">
        <f>IF(LEFT(B431,5)="09735",
    IF(ISNA(VLOOKUP(Tabla13[[#This Row],[Apoyo]],'LM SAP'!A:G,1,FALSE)),
        "No Disponible",
        IF(VLOOKUP(Tabla13[[#This Row],[Apoyo]],'LM SAP'!A:AD,9,FALSE)="RR",
            "Disponible",
            "Firmas SAP"
        )
    ),
    "CONSULTAR"
)</f>
        <v>No Disponible</v>
      </c>
      <c r="Q431" s="504" t="str">
        <f>MID(Tabla13[[#This Row],[Código Indra]],1,13)</f>
        <v>0973524290000</v>
      </c>
      <c r="R431" s="493" t="str">
        <f>IF(ISNA(VLOOKUP(Tabla13[[#This Row],[Código Indra]],#REF!,1,FALSE)),"NO", "SI")</f>
        <v>SI</v>
      </c>
      <c r="S431" s="504" t="str">
        <f>IF(ISNA(VLOOKUP(Tabla13[[#This Row],[Código Indra]],Tabla132[[Código INDRA]:[Nombre]],1,FALSE)),"NO", "SI")</f>
        <v>SI</v>
      </c>
      <c r="T431" s="507"/>
      <c r="U431" s="493" t="s">
        <v>227</v>
      </c>
      <c r="V431" s="493" t="e">
        <f>VLOOKUP(Tabla13[[#This Row],[Apoyo]],'LM SAP'!A:I,9,FALSE)</f>
        <v>#N/A</v>
      </c>
      <c r="W431" s="493"/>
      <c r="X431" s="508">
        <v>0</v>
      </c>
      <c r="Y431" s="493">
        <f>Tabla13[[#This Row],[ID]]</f>
        <v>420</v>
      </c>
    </row>
    <row r="432" spans="1:25" s="464" customFormat="1" ht="36" x14ac:dyDescent="0.25">
      <c r="A432" s="453">
        <v>421</v>
      </c>
      <c r="B432" s="454" t="s">
        <v>199</v>
      </c>
      <c r="C432" s="455" t="s">
        <v>1444</v>
      </c>
      <c r="D432" s="456"/>
      <c r="E432" s="457" t="s">
        <v>2708</v>
      </c>
      <c r="F432" s="458">
        <v>1</v>
      </c>
      <c r="G432" s="459"/>
      <c r="H432" s="460"/>
      <c r="I432" s="460" t="s">
        <v>2251</v>
      </c>
      <c r="J432" s="460"/>
      <c r="K432" s="460" t="s">
        <v>1411</v>
      </c>
      <c r="L432" s="460">
        <v>60005935</v>
      </c>
      <c r="M432" s="461">
        <v>45707</v>
      </c>
      <c r="N432" s="461">
        <v>45722</v>
      </c>
      <c r="O432" s="476" t="s">
        <v>2709</v>
      </c>
      <c r="P432" s="463" t="str">
        <f>IF(LEFT(B432,5)="09735",
    IF(ISNA(VLOOKUP(Tabla13[[#This Row],[Apoyo]],'LM SAP'!A:G,1,FALSE)),
        "No Disponible",
        IF(VLOOKUP(Tabla13[[#This Row],[Apoyo]],'LM SAP'!A:AD,9,FALSE)="RR",
            "Disponible",
            "Firmas SAP"
        )
    ),
    "CONSULTAR"
)</f>
        <v>No Disponible</v>
      </c>
      <c r="Q432" s="460" t="str">
        <f>MID(Tabla13[[#This Row],[Código Indra]],1,13)</f>
        <v>0973523060000</v>
      </c>
      <c r="R432" s="464" t="str">
        <f>IF(ISNA(VLOOKUP(Tabla13[[#This Row],[Código Indra]],#REF!,1,FALSE)),"NO", "SI")</f>
        <v>SI</v>
      </c>
      <c r="S432" s="460" t="str">
        <f>IF(ISNA(VLOOKUP(Tabla13[[#This Row],[Código Indra]],Tabla132[[Código INDRA]:[Nombre]],1,FALSE)),"NO", "SI")</f>
        <v>SI</v>
      </c>
      <c r="T432" s="465"/>
      <c r="U432" s="464" t="s">
        <v>227</v>
      </c>
      <c r="V432" s="464" t="e">
        <f>VLOOKUP(Tabla13[[#This Row],[Apoyo]],'LM SAP'!A:I,9,FALSE)</f>
        <v>#N/A</v>
      </c>
      <c r="X432" s="466">
        <v>0</v>
      </c>
      <c r="Y432" s="464">
        <f>Tabla13[[#This Row],[ID]]</f>
        <v>421</v>
      </c>
    </row>
    <row r="433" spans="1:25" s="464" customFormat="1" ht="24" x14ac:dyDescent="0.25">
      <c r="A433" s="453">
        <v>422</v>
      </c>
      <c r="B433" s="454" t="s">
        <v>2710</v>
      </c>
      <c r="C433" s="469" t="s">
        <v>2711</v>
      </c>
      <c r="D433" s="456" t="s">
        <v>200</v>
      </c>
      <c r="E433" s="457" t="s">
        <v>2712</v>
      </c>
      <c r="F433" s="458">
        <v>1</v>
      </c>
      <c r="G433" s="514" t="s">
        <v>199</v>
      </c>
      <c r="H433" s="460"/>
      <c r="I433" s="460" t="s">
        <v>2251</v>
      </c>
      <c r="J433" s="460"/>
      <c r="K433" s="460" t="s">
        <v>1533</v>
      </c>
      <c r="L433" s="460">
        <v>60005935</v>
      </c>
      <c r="M433" s="461">
        <v>45707</v>
      </c>
      <c r="N433" s="461">
        <v>45722</v>
      </c>
      <c r="O433" s="476" t="s">
        <v>2709</v>
      </c>
      <c r="P433" s="463" t="str">
        <f>IF(LEFT(B433,5)="09735",
    IF(ISNA(VLOOKUP(Tabla13[[#This Row],[Apoyo]],'LM SAP'!A:G,1,FALSE)),
        "No Disponible",
        IF(VLOOKUP(Tabla13[[#This Row],[Apoyo]],'LM SAP'!A:AD,9,FALSE)="RR",
            "Disponible",
            "Firmas SAP"
        )
    ),
    "CONSULTAR"
)</f>
        <v>No Disponible</v>
      </c>
      <c r="Q433" s="460" t="str">
        <f>MID(Tabla13[[#This Row],[Código Indra]],1,13)</f>
        <v>0973543060100</v>
      </c>
      <c r="R433" s="464" t="str">
        <f>IF(ISNA(VLOOKUP(Tabla13[[#This Row],[Código Indra]],#REF!,1,FALSE)),"NO", "SI")</f>
        <v>SI</v>
      </c>
      <c r="S433" s="460" t="str">
        <f>IF(ISNA(VLOOKUP(Tabla13[[#This Row],[Código Indra]],Tabla132[[Código INDRA]:[Nombre]],1,FALSE)),"NO", "SI")</f>
        <v>NO</v>
      </c>
      <c r="T433" s="465"/>
      <c r="U433" s="464" t="s">
        <v>256</v>
      </c>
      <c r="V433" s="464" t="e">
        <f>VLOOKUP(Tabla13[[#This Row],[Apoyo]],'LM SAP'!A:I,9,FALSE)</f>
        <v>#N/A</v>
      </c>
      <c r="X433" s="466">
        <v>0</v>
      </c>
      <c r="Y433" s="464">
        <f>Tabla13[[#This Row],[ID]]</f>
        <v>422</v>
      </c>
    </row>
    <row r="434" spans="1:25" s="464" customFormat="1" ht="24" x14ac:dyDescent="0.25">
      <c r="A434" s="453">
        <v>423</v>
      </c>
      <c r="B434" s="454" t="s">
        <v>2713</v>
      </c>
      <c r="C434" s="469" t="s">
        <v>2714</v>
      </c>
      <c r="D434" s="456" t="s">
        <v>200</v>
      </c>
      <c r="E434" s="457" t="s">
        <v>2715</v>
      </c>
      <c r="F434" s="458">
        <v>1</v>
      </c>
      <c r="G434" s="454" t="s">
        <v>199</v>
      </c>
      <c r="H434" s="460"/>
      <c r="I434" s="460" t="s">
        <v>2251</v>
      </c>
      <c r="J434" s="460"/>
      <c r="K434" s="460" t="s">
        <v>1533</v>
      </c>
      <c r="L434" s="460">
        <v>60005935</v>
      </c>
      <c r="M434" s="461">
        <v>45707</v>
      </c>
      <c r="N434" s="461">
        <v>45722</v>
      </c>
      <c r="O434" s="476" t="s">
        <v>2709</v>
      </c>
      <c r="P434" s="463" t="str">
        <f>IF(LEFT(B434,5)="09735",
    IF(ISNA(VLOOKUP(Tabla13[[#This Row],[Apoyo]],'LM SAP'!A:G,1,FALSE)),
        "No Disponible",
        IF(VLOOKUP(Tabla13[[#This Row],[Apoyo]],'LM SAP'!A:AD,9,FALSE)="RR",
            "Disponible",
            "Firmas SAP"
        )
    ),
    "CONSULTAR"
)</f>
        <v>No Disponible</v>
      </c>
      <c r="Q434" s="460" t="str">
        <f>MID(Tabla13[[#This Row],[Código Indra]],1,13)</f>
        <v>0973543060200</v>
      </c>
      <c r="R434" s="464" t="str">
        <f>IF(ISNA(VLOOKUP(Tabla13[[#This Row],[Código Indra]],#REF!,1,FALSE)),"NO", "SI")</f>
        <v>SI</v>
      </c>
      <c r="S434" s="460" t="str">
        <f>IF(ISNA(VLOOKUP(Tabla13[[#This Row],[Código Indra]],Tabla132[[Código INDRA]:[Nombre]],1,FALSE)),"NO", "SI")</f>
        <v>NO</v>
      </c>
      <c r="T434" s="465"/>
      <c r="U434" s="464" t="s">
        <v>256</v>
      </c>
      <c r="V434" s="464" t="e">
        <f>VLOOKUP(Tabla13[[#This Row],[Apoyo]],'LM SAP'!A:I,9,FALSE)</f>
        <v>#N/A</v>
      </c>
      <c r="X434" s="466">
        <v>0</v>
      </c>
      <c r="Y434" s="464">
        <f>Tabla13[[#This Row],[ID]]</f>
        <v>423</v>
      </c>
    </row>
    <row r="435" spans="1:25" s="464" customFormat="1" ht="24" x14ac:dyDescent="0.25">
      <c r="A435" s="453">
        <v>424</v>
      </c>
      <c r="B435" s="454" t="s">
        <v>2716</v>
      </c>
      <c r="C435" s="469" t="s">
        <v>2717</v>
      </c>
      <c r="D435" s="456" t="s">
        <v>200</v>
      </c>
      <c r="E435" s="457" t="s">
        <v>2718</v>
      </c>
      <c r="F435" s="458">
        <v>1</v>
      </c>
      <c r="G435" s="454" t="s">
        <v>199</v>
      </c>
      <c r="H435" s="460"/>
      <c r="I435" s="460" t="s">
        <v>2251</v>
      </c>
      <c r="J435" s="460"/>
      <c r="K435" s="460" t="s">
        <v>1533</v>
      </c>
      <c r="L435" s="460">
        <v>60005935</v>
      </c>
      <c r="M435" s="461">
        <v>45707</v>
      </c>
      <c r="N435" s="461">
        <v>45722</v>
      </c>
      <c r="O435" s="476" t="s">
        <v>2709</v>
      </c>
      <c r="P435" s="463" t="str">
        <f>IF(LEFT(B435,5)="09735",
    IF(ISNA(VLOOKUP(Tabla13[[#This Row],[Apoyo]],'LM SAP'!A:G,1,FALSE)),
        "No Disponible",
        IF(VLOOKUP(Tabla13[[#This Row],[Apoyo]],'LM SAP'!A:AD,9,FALSE)="RR",
            "Disponible",
            "Firmas SAP"
        )
    ),
    "CONSULTAR"
)</f>
        <v>No Disponible</v>
      </c>
      <c r="Q435" s="460" t="str">
        <f>MID(Tabla13[[#This Row],[Código Indra]],1,13)</f>
        <v>0973543060300</v>
      </c>
      <c r="R435" s="464" t="str">
        <f>IF(ISNA(VLOOKUP(Tabla13[[#This Row],[Código Indra]],#REF!,1,FALSE)),"NO", "SI")</f>
        <v>SI</v>
      </c>
      <c r="S435" s="460" t="str">
        <f>IF(ISNA(VLOOKUP(Tabla13[[#This Row],[Código Indra]],Tabla132[[Código INDRA]:[Nombre]],1,FALSE)),"NO", "SI")</f>
        <v>NO</v>
      </c>
      <c r="T435" s="465"/>
      <c r="U435" s="464" t="s">
        <v>256</v>
      </c>
      <c r="V435" s="464" t="e">
        <f>VLOOKUP(Tabla13[[#This Row],[Apoyo]],'LM SAP'!A:I,9,FALSE)</f>
        <v>#N/A</v>
      </c>
      <c r="X435" s="466">
        <v>0</v>
      </c>
      <c r="Y435" s="464">
        <f>Tabla13[[#This Row],[ID]]</f>
        <v>424</v>
      </c>
    </row>
    <row r="436" spans="1:25" s="550" customFormat="1" ht="24" x14ac:dyDescent="0.25">
      <c r="A436" s="453">
        <v>425</v>
      </c>
      <c r="B436" s="454" t="s">
        <v>2719</v>
      </c>
      <c r="C436" s="469" t="s">
        <v>2720</v>
      </c>
      <c r="D436" s="456" t="s">
        <v>200</v>
      </c>
      <c r="E436" s="457" t="s">
        <v>2721</v>
      </c>
      <c r="F436" s="458">
        <v>1</v>
      </c>
      <c r="G436" s="454" t="s">
        <v>199</v>
      </c>
      <c r="H436" s="460"/>
      <c r="I436" s="460" t="s">
        <v>2251</v>
      </c>
      <c r="J436" s="460"/>
      <c r="K436" s="460" t="s">
        <v>1533</v>
      </c>
      <c r="L436" s="460">
        <v>60005935</v>
      </c>
      <c r="M436" s="461">
        <v>45707</v>
      </c>
      <c r="N436" s="461">
        <v>45722</v>
      </c>
      <c r="O436" s="476" t="s">
        <v>2709</v>
      </c>
      <c r="P436" s="463" t="str">
        <f>IF(LEFT(B436,5)="09735",
    IF(ISNA(VLOOKUP(Tabla13[[#This Row],[Apoyo]],'LM SAP'!A:G,1,FALSE)),
        "No Disponible",
        IF(VLOOKUP(Tabla13[[#This Row],[Apoyo]],'LM SAP'!A:AD,9,FALSE)="RR",
            "Disponible",
            "Firmas SAP"
        )
    ),
    "CONSULTAR"
)</f>
        <v>Disponible</v>
      </c>
      <c r="Q436" s="460" t="str">
        <f>MID(Tabla13[[#This Row],[Código Indra]],1,13)</f>
        <v>0973543060400</v>
      </c>
      <c r="R436" s="464" t="str">
        <f>IF(ISNA(VLOOKUP(Tabla13[[#This Row],[Código Indra]],#REF!,1,FALSE)),"NO", "SI")</f>
        <v>SI</v>
      </c>
      <c r="S436" s="460" t="str">
        <f>IF(ISNA(VLOOKUP(Tabla13[[#This Row],[Código Indra]],Tabla132[[Código INDRA]:[Nombre]],1,FALSE)),"NO", "SI")</f>
        <v>NO</v>
      </c>
      <c r="T436" s="465"/>
      <c r="U436" s="464" t="s">
        <v>256</v>
      </c>
      <c r="V436" s="464" t="str">
        <f>VLOOKUP(Tabla13[[#This Row],[Apoyo]],'LM SAP'!A:I,9,FALSE)</f>
        <v>RR</v>
      </c>
      <c r="W436" s="464"/>
      <c r="X436" s="466">
        <v>0</v>
      </c>
      <c r="Y436" s="464">
        <f>Tabla13[[#This Row],[ID]]</f>
        <v>425</v>
      </c>
    </row>
    <row r="437" spans="1:25" s="464" customFormat="1" ht="24" x14ac:dyDescent="0.25">
      <c r="A437" s="453">
        <v>426</v>
      </c>
      <c r="B437" s="454" t="s">
        <v>2722</v>
      </c>
      <c r="C437" s="469" t="s">
        <v>2723</v>
      </c>
      <c r="D437" s="456" t="s">
        <v>200</v>
      </c>
      <c r="E437" s="457" t="s">
        <v>2724</v>
      </c>
      <c r="F437" s="458">
        <v>1</v>
      </c>
      <c r="G437" s="454" t="s">
        <v>199</v>
      </c>
      <c r="H437" s="460"/>
      <c r="I437" s="460" t="s">
        <v>2251</v>
      </c>
      <c r="J437" s="460"/>
      <c r="K437" s="460" t="s">
        <v>1533</v>
      </c>
      <c r="L437" s="460">
        <v>60005935</v>
      </c>
      <c r="M437" s="461">
        <v>45707</v>
      </c>
      <c r="N437" s="461">
        <v>45722</v>
      </c>
      <c r="O437" s="476" t="s">
        <v>2709</v>
      </c>
      <c r="P437" s="463" t="str">
        <f>IF(LEFT(B437,5)="09735",
    IF(ISNA(VLOOKUP(Tabla13[[#This Row],[Apoyo]],'LM SAP'!A:G,1,FALSE)),
        "No Disponible",
        IF(VLOOKUP(Tabla13[[#This Row],[Apoyo]],'LM SAP'!A:AD,9,FALSE)="RR",
            "Disponible",
            "Firmas SAP"
        )
    ),
    "CONSULTAR"
)</f>
        <v>Disponible</v>
      </c>
      <c r="Q437" s="460" t="str">
        <f>MID(Tabla13[[#This Row],[Código Indra]],1,13)</f>
        <v>0973543060500</v>
      </c>
      <c r="R437" s="464" t="str">
        <f>IF(ISNA(VLOOKUP(Tabla13[[#This Row],[Código Indra]],#REF!,1,FALSE)),"NO", "SI")</f>
        <v>SI</v>
      </c>
      <c r="S437" s="460" t="str">
        <f>IF(ISNA(VLOOKUP(Tabla13[[#This Row],[Código Indra]],Tabla132[[Código INDRA]:[Nombre]],1,FALSE)),"NO", "SI")</f>
        <v>NO</v>
      </c>
      <c r="T437" s="465"/>
      <c r="U437" s="464" t="s">
        <v>256</v>
      </c>
      <c r="V437" s="464" t="str">
        <f>VLOOKUP(Tabla13[[#This Row],[Apoyo]],'LM SAP'!A:I,9,FALSE)</f>
        <v>RR</v>
      </c>
      <c r="X437" s="466">
        <v>0</v>
      </c>
      <c r="Y437" s="464">
        <f>Tabla13[[#This Row],[ID]]</f>
        <v>426</v>
      </c>
    </row>
    <row r="438" spans="1:25" s="464" customFormat="1" ht="24" x14ac:dyDescent="0.25">
      <c r="A438" s="453">
        <v>427</v>
      </c>
      <c r="B438" s="454" t="s">
        <v>2725</v>
      </c>
      <c r="C438" s="469" t="s">
        <v>2726</v>
      </c>
      <c r="D438" s="456" t="s">
        <v>200</v>
      </c>
      <c r="E438" s="457" t="s">
        <v>2727</v>
      </c>
      <c r="F438" s="458">
        <v>1</v>
      </c>
      <c r="G438" s="454" t="s">
        <v>199</v>
      </c>
      <c r="H438" s="460"/>
      <c r="I438" s="460" t="s">
        <v>2251</v>
      </c>
      <c r="J438" s="460"/>
      <c r="K438" s="460" t="s">
        <v>1533</v>
      </c>
      <c r="L438" s="460">
        <v>60005935</v>
      </c>
      <c r="M438" s="461">
        <v>45707</v>
      </c>
      <c r="N438" s="461">
        <v>45722</v>
      </c>
      <c r="O438" s="476" t="s">
        <v>2709</v>
      </c>
      <c r="P438" s="463" t="str">
        <f>IF(LEFT(B438,5)="09735",
    IF(ISNA(VLOOKUP(Tabla13[[#This Row],[Apoyo]],'LM SAP'!A:G,1,FALSE)),
        "No Disponible",
        IF(VLOOKUP(Tabla13[[#This Row],[Apoyo]],'LM SAP'!A:AD,9,FALSE)="RR",
            "Disponible",
            "Firmas SAP"
        )
    ),
    "CONSULTAR"
)</f>
        <v>Disponible</v>
      </c>
      <c r="Q438" s="460" t="str">
        <f>MID(Tabla13[[#This Row],[Código Indra]],1,13)</f>
        <v>0973543060600</v>
      </c>
      <c r="R438" s="464" t="str">
        <f>IF(ISNA(VLOOKUP(Tabla13[[#This Row],[Código Indra]],#REF!,1,FALSE)),"NO", "SI")</f>
        <v>SI</v>
      </c>
      <c r="S438" s="460" t="str">
        <f>IF(ISNA(VLOOKUP(Tabla13[[#This Row],[Código Indra]],Tabla132[[Código INDRA]:[Nombre]],1,FALSE)),"NO", "SI")</f>
        <v>NO</v>
      </c>
      <c r="T438" s="465"/>
      <c r="U438" s="464" t="s">
        <v>256</v>
      </c>
      <c r="V438" s="464" t="str">
        <f>VLOOKUP(Tabla13[[#This Row],[Apoyo]],'LM SAP'!A:I,9,FALSE)</f>
        <v>RR</v>
      </c>
      <c r="X438" s="466">
        <v>0</v>
      </c>
      <c r="Y438" s="464">
        <f>Tabla13[[#This Row],[ID]]</f>
        <v>427</v>
      </c>
    </row>
    <row r="439" spans="1:25" s="464" customFormat="1" ht="36" x14ac:dyDescent="0.25">
      <c r="A439" s="497">
        <v>428</v>
      </c>
      <c r="B439" s="548" t="s">
        <v>201</v>
      </c>
      <c r="C439" s="499" t="s">
        <v>202</v>
      </c>
      <c r="D439" s="500"/>
      <c r="E439" s="501" t="s">
        <v>2728</v>
      </c>
      <c r="F439" s="502">
        <v>1</v>
      </c>
      <c r="G439" s="548"/>
      <c r="H439" s="504"/>
      <c r="I439" s="504" t="s">
        <v>2251</v>
      </c>
      <c r="J439" s="504"/>
      <c r="K439" s="504" t="s">
        <v>1411</v>
      </c>
      <c r="L439" s="504">
        <v>60005936</v>
      </c>
      <c r="M439" s="505">
        <v>45707</v>
      </c>
      <c r="N439" s="505">
        <v>45722</v>
      </c>
      <c r="O439" s="552" t="s">
        <v>2091</v>
      </c>
      <c r="P439" s="506" t="str">
        <f>IF(LEFT(B439,5)="09735",
    IF(ISNA(VLOOKUP(Tabla13[[#This Row],[Apoyo]],'LM SAP'!A:G,1,FALSE)),
        "No Disponible",
        IF(VLOOKUP(Tabla13[[#This Row],[Apoyo]],'LM SAP'!A:AD,9,FALSE)="RR",
            "Disponible",
            "Firmas SAP"
        )
    ),
    "CONSULTAR"
)</f>
        <v>No Disponible</v>
      </c>
      <c r="Q439" s="504" t="str">
        <f>MID(Tabla13[[#This Row],[Código Indra]],1,13)</f>
        <v>0973523062000</v>
      </c>
      <c r="R439" s="493" t="str">
        <f>IF(ISNA(VLOOKUP(Tabla13[[#This Row],[Código Indra]],#REF!,1,FALSE)),"NO", "SI")</f>
        <v>SI</v>
      </c>
      <c r="S439" s="504" t="str">
        <f>IF(ISNA(VLOOKUP(Tabla13[[#This Row],[Código Indra]],Tabla132[[Código INDRA]:[Nombre]],1,FALSE)),"NO", "SI")</f>
        <v>SI</v>
      </c>
      <c r="T439" s="507"/>
      <c r="U439" s="493" t="s">
        <v>227</v>
      </c>
      <c r="V439" s="493" t="e">
        <f>VLOOKUP(Tabla13[[#This Row],[Apoyo]],'LM SAP'!A:I,9,FALSE)</f>
        <v>#N/A</v>
      </c>
      <c r="W439" s="493"/>
      <c r="X439" s="508">
        <v>0</v>
      </c>
      <c r="Y439" s="493">
        <f>Tabla13[[#This Row],[ID]]</f>
        <v>428</v>
      </c>
    </row>
    <row r="440" spans="1:25" s="464" customFormat="1" x14ac:dyDescent="0.25">
      <c r="A440" s="453">
        <v>429</v>
      </c>
      <c r="B440" s="454" t="s">
        <v>2729</v>
      </c>
      <c r="C440" s="469" t="s">
        <v>2730</v>
      </c>
      <c r="D440" s="456" t="s">
        <v>202</v>
      </c>
      <c r="E440" s="457" t="s">
        <v>2731</v>
      </c>
      <c r="F440" s="458">
        <v>1</v>
      </c>
      <c r="G440" s="454" t="s">
        <v>201</v>
      </c>
      <c r="H440" s="460"/>
      <c r="I440" s="460" t="s">
        <v>2251</v>
      </c>
      <c r="J440" s="460"/>
      <c r="K440" s="553" t="s">
        <v>1533</v>
      </c>
      <c r="L440" s="460">
        <v>60005936</v>
      </c>
      <c r="M440" s="461">
        <v>45707</v>
      </c>
      <c r="N440" s="461">
        <v>45722</v>
      </c>
      <c r="O440" s="476"/>
      <c r="P440" s="463" t="str">
        <f>IF(LEFT(B440,5)="09735",
    IF(ISNA(VLOOKUP(Tabla13[[#This Row],[Apoyo]],'LM SAP'!A:G,1,FALSE)),
        "No Disponible",
        IF(VLOOKUP(Tabla13[[#This Row],[Apoyo]],'LM SAP'!A:AD,9,FALSE)="RR",
            "Disponible",
            "Firmas SAP"
        )
    ),
    "CONSULTAR"
)</f>
        <v>Disponible</v>
      </c>
      <c r="Q440" s="460" t="str">
        <f>MID(Tabla13[[#This Row],[Código Indra]],1,13)</f>
        <v>0973543062900</v>
      </c>
      <c r="R440" s="464" t="str">
        <f>IF(ISNA(VLOOKUP(Tabla13[[#This Row],[Código Indra]],#REF!,1,FALSE)),"NO", "SI")</f>
        <v>SI</v>
      </c>
      <c r="S440" s="460" t="str">
        <f>IF(ISNA(VLOOKUP(Tabla13[[#This Row],[Código Indra]],Tabla132[[Código INDRA]:[Nombre]],1,FALSE)),"NO", "SI")</f>
        <v>NO</v>
      </c>
      <c r="T440" s="465"/>
      <c r="U440" s="464" t="s">
        <v>256</v>
      </c>
      <c r="V440" s="464" t="str">
        <f>VLOOKUP(Tabla13[[#This Row],[Apoyo]],'LM SAP'!A:I,9,FALSE)</f>
        <v>RR</v>
      </c>
      <c r="X440" s="466">
        <v>0</v>
      </c>
      <c r="Y440" s="464">
        <f>Tabla13[[#This Row],[ID]]</f>
        <v>429</v>
      </c>
    </row>
    <row r="441" spans="1:25" s="464" customFormat="1" x14ac:dyDescent="0.25">
      <c r="A441" s="453">
        <v>430</v>
      </c>
      <c r="B441" s="454" t="s">
        <v>2732</v>
      </c>
      <c r="C441" s="469" t="s">
        <v>2733</v>
      </c>
      <c r="D441" s="456" t="s">
        <v>202</v>
      </c>
      <c r="E441" s="457" t="s">
        <v>2734</v>
      </c>
      <c r="F441" s="458">
        <v>1</v>
      </c>
      <c r="G441" s="454" t="s">
        <v>201</v>
      </c>
      <c r="H441" s="460"/>
      <c r="I441" s="460" t="s">
        <v>2251</v>
      </c>
      <c r="J441" s="460"/>
      <c r="K441" s="460" t="s">
        <v>1533</v>
      </c>
      <c r="L441" s="460">
        <v>60005936</v>
      </c>
      <c r="M441" s="461">
        <v>45707</v>
      </c>
      <c r="N441" s="461"/>
      <c r="O441" s="476"/>
      <c r="P441" s="463" t="str">
        <f>IF(LEFT(B441,5)="09735",
    IF(ISNA(VLOOKUP(Tabla13[[#This Row],[Apoyo]],'LM SAP'!A:G,1,FALSE)),
        "No Disponible",
        IF(VLOOKUP(Tabla13[[#This Row],[Apoyo]],'LM SAP'!A:AD,9,FALSE)="RR",
            "Disponible",
            "Firmas SAP"
        )
    ),
    "CONSULTAR"
)</f>
        <v>Disponible</v>
      </c>
      <c r="Q441" s="460" t="str">
        <f>MID(Tabla13[[#This Row],[Código Indra]],1,13)</f>
        <v>0973543063000</v>
      </c>
      <c r="R441" s="464" t="str">
        <f>IF(ISNA(VLOOKUP(Tabla13[[#This Row],[Código Indra]],#REF!,1,FALSE)),"NO", "SI")</f>
        <v>SI</v>
      </c>
      <c r="S441" s="460" t="str">
        <f>IF(ISNA(VLOOKUP(Tabla13[[#This Row],[Código Indra]],Tabla132[[Código INDRA]:[Nombre]],1,FALSE)),"NO", "SI")</f>
        <v>NO</v>
      </c>
      <c r="T441" s="465"/>
      <c r="U441" s="464" t="s">
        <v>256</v>
      </c>
      <c r="V441" s="464" t="str">
        <f>VLOOKUP(Tabla13[[#This Row],[Apoyo]],'LM SAP'!A:I,9,FALSE)</f>
        <v>RR</v>
      </c>
      <c r="X441" s="466">
        <v>0</v>
      </c>
      <c r="Y441" s="464">
        <f>Tabla13[[#This Row],[ID]]</f>
        <v>430</v>
      </c>
    </row>
    <row r="442" spans="1:25" s="464" customFormat="1" ht="36" x14ac:dyDescent="0.25">
      <c r="A442" s="453">
        <v>431</v>
      </c>
      <c r="B442" s="454" t="s">
        <v>203</v>
      </c>
      <c r="C442" s="455" t="s">
        <v>204</v>
      </c>
      <c r="D442" s="456"/>
      <c r="E442" s="457" t="s">
        <v>2735</v>
      </c>
      <c r="F442" s="458">
        <v>1</v>
      </c>
      <c r="G442" s="465"/>
      <c r="H442" s="460"/>
      <c r="I442" s="460" t="s">
        <v>2251</v>
      </c>
      <c r="J442" s="460"/>
      <c r="K442" s="460" t="s">
        <v>1411</v>
      </c>
      <c r="L442" s="460">
        <v>60006150</v>
      </c>
      <c r="M442" s="461">
        <v>45715</v>
      </c>
      <c r="N442" s="461">
        <v>45715</v>
      </c>
      <c r="O442" s="554" t="s">
        <v>2736</v>
      </c>
      <c r="P442" s="463" t="str">
        <f>IF(LEFT(B442,5)="09735",
    IF(ISNA(VLOOKUP(Tabla13[[#This Row],[Apoyo]],'LM SAP'!A:G,1,FALSE)),
        "No Disponible",
        IF(VLOOKUP(Tabla13[[#This Row],[Apoyo]],'LM SAP'!A:AD,9,FALSE)="RR",
            "Disponible",
            "Firmas SAP"
        )
    ),
    "CONSULTAR"
)</f>
        <v>No Disponible</v>
      </c>
      <c r="Q442" s="460" t="str">
        <f>MID(Tabla13[[#This Row],[Código Indra]],1,13)</f>
        <v>0973523064000</v>
      </c>
      <c r="R442" s="464" t="str">
        <f>IF(ISNA(VLOOKUP(Tabla13[[#This Row],[Código Indra]],#REF!,1,FALSE)),"NO", "SI")</f>
        <v>SI</v>
      </c>
      <c r="S442" s="460" t="str">
        <f>IF(ISNA(VLOOKUP(Tabla13[[#This Row],[Código Indra]],Tabla132[[Código INDRA]:[Nombre]],1,FALSE)),"NO", "SI")</f>
        <v>SI</v>
      </c>
      <c r="T442" s="465"/>
      <c r="U442" s="464" t="s">
        <v>227</v>
      </c>
      <c r="V442" s="464" t="e">
        <f>VLOOKUP(Tabla13[[#This Row],[Apoyo]],'LM SAP'!A:I,9,FALSE)</f>
        <v>#N/A</v>
      </c>
      <c r="X442" s="466">
        <v>0</v>
      </c>
      <c r="Y442" s="464">
        <f>Tabla13[[#This Row],[ID]]</f>
        <v>431</v>
      </c>
    </row>
    <row r="443" spans="1:25" s="464" customFormat="1" ht="24" x14ac:dyDescent="0.25">
      <c r="A443" s="453">
        <v>432</v>
      </c>
      <c r="B443" s="480" t="s">
        <v>2737</v>
      </c>
      <c r="C443" s="469" t="s">
        <v>2738</v>
      </c>
      <c r="D443" s="456" t="s">
        <v>204</v>
      </c>
      <c r="E443" s="457" t="s">
        <v>2739</v>
      </c>
      <c r="F443" s="458">
        <v>1</v>
      </c>
      <c r="G443" s="454"/>
      <c r="H443" s="460"/>
      <c r="I443" s="460" t="s">
        <v>2251</v>
      </c>
      <c r="J443" s="460"/>
      <c r="K443" s="460" t="s">
        <v>1411</v>
      </c>
      <c r="L443" s="460">
        <v>60005647</v>
      </c>
      <c r="M443" s="461">
        <v>45681</v>
      </c>
      <c r="N443" s="461">
        <v>45691</v>
      </c>
      <c r="O443" s="470" t="s">
        <v>545</v>
      </c>
      <c r="P443" s="463" t="str">
        <f>IF(LEFT(B443,5)="09735",
    IF(ISNA(VLOOKUP(Tabla13[[#This Row],[Apoyo]],'LM SAP'!A:G,1,FALSE)),
        "No Disponible",
        IF(VLOOKUP(Tabla13[[#This Row],[Apoyo]],'LM SAP'!A:AD,9,FALSE)="RR",
            "Disponible",
            "Firmas SAP"
        )
    ),
    "CONSULTAR"
)</f>
        <v>Disponible</v>
      </c>
      <c r="Q443" s="460" t="str">
        <f>MID(Tabla13[[#This Row],[Código Indra]],1,13)</f>
        <v>0973543064100</v>
      </c>
      <c r="R443" s="464" t="str">
        <f>IF(ISNA(VLOOKUP(Tabla13[[#This Row],[Código Indra]],#REF!,1,FALSE)),"NO", "SI")</f>
        <v>SI</v>
      </c>
      <c r="S443" s="460" t="str">
        <f>IF(ISNA(VLOOKUP(Tabla13[[#This Row],[Código Indra]],Tabla132[[Código INDRA]:[Nombre]],1,FALSE)),"NO", "SI")</f>
        <v>NO</v>
      </c>
      <c r="T443" s="465"/>
      <c r="U443" s="464" t="s">
        <v>256</v>
      </c>
      <c r="V443" s="464" t="str">
        <f>VLOOKUP(Tabla13[[#This Row],[Apoyo]],'LM SAP'!A:I,9,FALSE)</f>
        <v>RR</v>
      </c>
      <c r="X443" s="466">
        <v>0</v>
      </c>
      <c r="Y443" s="464">
        <f>Tabla13[[#This Row],[ID]]</f>
        <v>432</v>
      </c>
    </row>
    <row r="444" spans="1:25" s="464" customFormat="1" ht="24" x14ac:dyDescent="0.25">
      <c r="A444" s="453">
        <v>433</v>
      </c>
      <c r="B444" s="454" t="s">
        <v>2740</v>
      </c>
      <c r="C444" s="469" t="s">
        <v>2741</v>
      </c>
      <c r="D444" s="456" t="s">
        <v>204</v>
      </c>
      <c r="E444" s="457" t="s">
        <v>2742</v>
      </c>
      <c r="F444" s="458">
        <v>1</v>
      </c>
      <c r="G444" s="454"/>
      <c r="H444" s="460"/>
      <c r="I444" s="460" t="s">
        <v>2251</v>
      </c>
      <c r="J444" s="460"/>
      <c r="K444" s="460" t="s">
        <v>1411</v>
      </c>
      <c r="L444" s="460">
        <v>60005648</v>
      </c>
      <c r="M444" s="461">
        <v>45681</v>
      </c>
      <c r="N444" s="461">
        <v>45691</v>
      </c>
      <c r="O444" s="470" t="s">
        <v>545</v>
      </c>
      <c r="P444" s="463" t="str">
        <f>IF(LEFT(B444,5)="09735",
    IF(ISNA(VLOOKUP(Tabla13[[#This Row],[Apoyo]],'LM SAP'!A:G,1,FALSE)),
        "No Disponible",
        IF(VLOOKUP(Tabla13[[#This Row],[Apoyo]],'LM SAP'!A:AD,9,FALSE)="RR",
            "Disponible",
            "Firmas SAP"
        )
    ),
    "CONSULTAR"
)</f>
        <v>Disponible</v>
      </c>
      <c r="Q444" s="460" t="str">
        <f>MID(Tabla13[[#This Row],[Código Indra]],1,13)</f>
        <v>0973543064200</v>
      </c>
      <c r="R444" s="464" t="str">
        <f>IF(ISNA(VLOOKUP(Tabla13[[#This Row],[Código Indra]],#REF!,1,FALSE)),"NO", "SI")</f>
        <v>SI</v>
      </c>
      <c r="S444" s="460" t="str">
        <f>IF(ISNA(VLOOKUP(Tabla13[[#This Row],[Código Indra]],Tabla132[[Código INDRA]:[Nombre]],1,FALSE)),"NO", "SI")</f>
        <v>NO</v>
      </c>
      <c r="T444" s="465"/>
      <c r="U444" s="464" t="s">
        <v>256</v>
      </c>
      <c r="V444" s="464" t="str">
        <f>VLOOKUP(Tabla13[[#This Row],[Apoyo]],'LM SAP'!A:I,9,FALSE)</f>
        <v>RR</v>
      </c>
      <c r="X444" s="466">
        <v>0</v>
      </c>
      <c r="Y444" s="464">
        <f>Tabla13[[#This Row],[ID]]</f>
        <v>433</v>
      </c>
    </row>
    <row r="445" spans="1:25" s="464" customFormat="1" ht="24" x14ac:dyDescent="0.25">
      <c r="A445" s="453">
        <v>434</v>
      </c>
      <c r="B445" s="480" t="s">
        <v>2743</v>
      </c>
      <c r="C445" s="469" t="s">
        <v>2744</v>
      </c>
      <c r="D445" s="456" t="s">
        <v>204</v>
      </c>
      <c r="E445" s="457" t="s">
        <v>2745</v>
      </c>
      <c r="F445" s="458">
        <v>1</v>
      </c>
      <c r="G445" s="465"/>
      <c r="H445" s="460"/>
      <c r="I445" s="460" t="s">
        <v>2251</v>
      </c>
      <c r="J445" s="460"/>
      <c r="K445" s="460" t="s">
        <v>1411</v>
      </c>
      <c r="L445" s="460">
        <v>60006598</v>
      </c>
      <c r="M445" s="461">
        <v>45768</v>
      </c>
      <c r="N445" s="461">
        <v>45768</v>
      </c>
      <c r="O445" s="467" t="s">
        <v>1050</v>
      </c>
      <c r="P445" s="463" t="str">
        <f>IF(LEFT(B445,5)="09735",
    IF(ISNA(VLOOKUP(Tabla13[[#This Row],[Apoyo]],'LM SAP'!A:G,1,FALSE)),
        "No Disponible",
        IF(VLOOKUP(Tabla13[[#This Row],[Apoyo]],'LM SAP'!A:AD,9,FALSE)="RR",
            "Disponible",
            "Firmas SAP"
        )
    ),
    "CONSULTAR"
)</f>
        <v>No Disponible</v>
      </c>
      <c r="Q445" s="460" t="str">
        <f>MID(Tabla13[[#This Row],[Código Indra]],1,13)</f>
        <v>0973523064400</v>
      </c>
      <c r="R445" s="464" t="str">
        <f>IF(ISNA(VLOOKUP(Tabla13[[#This Row],[Código Indra]],#REF!,1,FALSE)),"NO", "SI")</f>
        <v>SI</v>
      </c>
      <c r="S445" s="460" t="str">
        <f>IF(ISNA(VLOOKUP(Tabla13[[#This Row],[Código Indra]],Tabla132[[Código INDRA]:[Nombre]],1,FALSE)),"NO", "SI")</f>
        <v>NO</v>
      </c>
      <c r="T445" s="465"/>
      <c r="U445" s="464" t="s">
        <v>227</v>
      </c>
      <c r="V445" s="464" t="e">
        <f>VLOOKUP(Tabla13[[#This Row],[Apoyo]],'LM SAP'!A:I,9,FALSE)</f>
        <v>#N/A</v>
      </c>
      <c r="X445" s="466">
        <v>0</v>
      </c>
      <c r="Y445" s="464">
        <f>Tabla13[[#This Row],[ID]]</f>
        <v>434</v>
      </c>
    </row>
    <row r="446" spans="1:25" s="464" customFormat="1" x14ac:dyDescent="0.25">
      <c r="A446" s="453">
        <v>435</v>
      </c>
      <c r="B446" s="480" t="s">
        <v>2746</v>
      </c>
      <c r="C446" s="469" t="s">
        <v>2747</v>
      </c>
      <c r="D446" s="456" t="s">
        <v>204</v>
      </c>
      <c r="E446" s="457" t="s">
        <v>2748</v>
      </c>
      <c r="F446" s="458">
        <v>1</v>
      </c>
      <c r="G446" s="465"/>
      <c r="H446" s="460"/>
      <c r="I446" s="460" t="s">
        <v>2251</v>
      </c>
      <c r="J446" s="460"/>
      <c r="K446" s="460" t="s">
        <v>1411</v>
      </c>
      <c r="L446" s="460">
        <v>60005551</v>
      </c>
      <c r="M446" s="461">
        <v>45678</v>
      </c>
      <c r="N446" s="461">
        <v>45685</v>
      </c>
      <c r="O446" s="470"/>
      <c r="P446" s="463" t="str">
        <f>IF(LEFT(B446,5)="09735",
    IF(ISNA(VLOOKUP(Tabla13[[#This Row],[Apoyo]],'LM SAP'!A:G,1,FALSE)),
        "No Disponible",
        IF(VLOOKUP(Tabla13[[#This Row],[Apoyo]],'LM SAP'!A:AD,9,FALSE)="RR",
            "Disponible",
            "Firmas SAP"
        )
    ),
    "CONSULTAR"
)</f>
        <v>Disponible</v>
      </c>
      <c r="Q446" s="460" t="str">
        <f>MID(Tabla13[[#This Row],[Código Indra]],1,13)</f>
        <v>0973543064500</v>
      </c>
      <c r="R446" s="464" t="str">
        <f>IF(ISNA(VLOOKUP(Tabla13[[#This Row],[Código Indra]],#REF!,1,FALSE)),"NO", "SI")</f>
        <v>SI</v>
      </c>
      <c r="S446" s="460" t="str">
        <f>IF(ISNA(VLOOKUP(Tabla13[[#This Row],[Código Indra]],Tabla132[[Código INDRA]:[Nombre]],1,FALSE)),"NO", "SI")</f>
        <v>NO</v>
      </c>
      <c r="T446" s="465"/>
      <c r="U446" s="464" t="s">
        <v>256</v>
      </c>
      <c r="V446" s="464" t="str">
        <f>VLOOKUP(Tabla13[[#This Row],[Apoyo]],'LM SAP'!A:I,9,FALSE)</f>
        <v>RR</v>
      </c>
      <c r="X446" s="466">
        <v>0</v>
      </c>
      <c r="Y446" s="464">
        <f>Tabla13[[#This Row],[ID]]</f>
        <v>435</v>
      </c>
    </row>
    <row r="447" spans="1:25" s="464" customFormat="1" x14ac:dyDescent="0.25">
      <c r="A447" s="453">
        <v>436</v>
      </c>
      <c r="B447" s="454" t="s">
        <v>2749</v>
      </c>
      <c r="C447" s="469" t="s">
        <v>2750</v>
      </c>
      <c r="D447" s="456" t="s">
        <v>204</v>
      </c>
      <c r="E447" s="457" t="s">
        <v>2751</v>
      </c>
      <c r="F447" s="458">
        <v>1</v>
      </c>
      <c r="G447" s="465"/>
      <c r="H447" s="460"/>
      <c r="I447" s="460" t="s">
        <v>2251</v>
      </c>
      <c r="J447" s="460"/>
      <c r="K447" s="460" t="s">
        <v>1411</v>
      </c>
      <c r="L447" s="460">
        <v>60005552</v>
      </c>
      <c r="M447" s="461">
        <v>45678</v>
      </c>
      <c r="N447" s="461">
        <v>45685</v>
      </c>
      <c r="O447" s="470"/>
      <c r="P447" s="463" t="str">
        <f>IF(LEFT(B447,5)="09735",
    IF(ISNA(VLOOKUP(Tabla13[[#This Row],[Apoyo]],'LM SAP'!A:G,1,FALSE)),
        "No Disponible",
        IF(VLOOKUP(Tabla13[[#This Row],[Apoyo]],'LM SAP'!A:AD,9,FALSE)="RR",
            "Disponible",
            "Firmas SAP"
        )
    ),
    "CONSULTAR"
)</f>
        <v>Disponible</v>
      </c>
      <c r="Q447" s="460" t="str">
        <f>MID(Tabla13[[#This Row],[Código Indra]],1,13)</f>
        <v>0973543064600</v>
      </c>
      <c r="R447" s="464" t="str">
        <f>IF(ISNA(VLOOKUP(Tabla13[[#This Row],[Código Indra]],#REF!,1,FALSE)),"NO", "SI")</f>
        <v>SI</v>
      </c>
      <c r="S447" s="460" t="str">
        <f>IF(ISNA(VLOOKUP(Tabla13[[#This Row],[Código Indra]],Tabla132[[Código INDRA]:[Nombre]],1,FALSE)),"NO", "SI")</f>
        <v>NO</v>
      </c>
      <c r="T447" s="465"/>
      <c r="U447" s="464" t="s">
        <v>256</v>
      </c>
      <c r="V447" s="464" t="str">
        <f>VLOOKUP(Tabla13[[#This Row],[Apoyo]],'LM SAP'!A:I,9,FALSE)</f>
        <v>RR</v>
      </c>
      <c r="X447" s="466">
        <v>0</v>
      </c>
      <c r="Y447" s="464">
        <f>Tabla13[[#This Row],[ID]]</f>
        <v>436</v>
      </c>
    </row>
    <row r="448" spans="1:25" s="464" customFormat="1" x14ac:dyDescent="0.25">
      <c r="A448" s="453">
        <v>437</v>
      </c>
      <c r="B448" s="454" t="s">
        <v>2752</v>
      </c>
      <c r="C448" s="469" t="s">
        <v>2753</v>
      </c>
      <c r="D448" s="456" t="s">
        <v>204</v>
      </c>
      <c r="E448" s="457" t="s">
        <v>2754</v>
      </c>
      <c r="F448" s="458">
        <v>1</v>
      </c>
      <c r="G448" s="465"/>
      <c r="H448" s="460"/>
      <c r="I448" s="460" t="s">
        <v>2251</v>
      </c>
      <c r="J448" s="460"/>
      <c r="K448" s="460" t="s">
        <v>1411</v>
      </c>
      <c r="L448" s="460">
        <v>60005553</v>
      </c>
      <c r="M448" s="461">
        <v>45678</v>
      </c>
      <c r="N448" s="461">
        <v>45685</v>
      </c>
      <c r="O448" s="470"/>
      <c r="P448" s="463" t="str">
        <f>IF(LEFT(B448,5)="09735",
    IF(ISNA(VLOOKUP(Tabla13[[#This Row],[Apoyo]],'LM SAP'!A:G,1,FALSE)),
        "No Disponible",
        IF(VLOOKUP(Tabla13[[#This Row],[Apoyo]],'LM SAP'!A:AD,9,FALSE)="RR",
            "Disponible",
            "Firmas SAP"
        )
    ),
    "CONSULTAR"
)</f>
        <v>Disponible</v>
      </c>
      <c r="Q448" s="460" t="str">
        <f>MID(Tabla13[[#This Row],[Código Indra]],1,13)</f>
        <v>0973543064700</v>
      </c>
      <c r="R448" s="464" t="str">
        <f>IF(ISNA(VLOOKUP(Tabla13[[#This Row],[Código Indra]],#REF!,1,FALSE)),"NO", "SI")</f>
        <v>SI</v>
      </c>
      <c r="S448" s="460" t="str">
        <f>IF(ISNA(VLOOKUP(Tabla13[[#This Row],[Código Indra]],Tabla132[[Código INDRA]:[Nombre]],1,FALSE)),"NO", "SI")</f>
        <v>NO</v>
      </c>
      <c r="T448" s="465"/>
      <c r="U448" s="464" t="s">
        <v>256</v>
      </c>
      <c r="V448" s="464" t="str">
        <f>VLOOKUP(Tabla13[[#This Row],[Apoyo]],'LM SAP'!A:I,9,FALSE)</f>
        <v>RR</v>
      </c>
      <c r="X448" s="466">
        <v>0</v>
      </c>
      <c r="Y448" s="464">
        <f>Tabla13[[#This Row],[ID]]</f>
        <v>437</v>
      </c>
    </row>
    <row r="449" spans="1:25" s="464" customFormat="1" ht="24" x14ac:dyDescent="0.25">
      <c r="A449" s="453">
        <v>438</v>
      </c>
      <c r="B449" s="480" t="s">
        <v>2755</v>
      </c>
      <c r="C449" s="469" t="s">
        <v>2756</v>
      </c>
      <c r="D449" s="456" t="s">
        <v>204</v>
      </c>
      <c r="E449" s="457" t="s">
        <v>2757</v>
      </c>
      <c r="F449" s="458">
        <v>1</v>
      </c>
      <c r="G449" s="459"/>
      <c r="H449" s="460"/>
      <c r="I449" s="460" t="s">
        <v>2251</v>
      </c>
      <c r="J449" s="460"/>
      <c r="K449" s="460" t="s">
        <v>1411</v>
      </c>
      <c r="L449" s="460">
        <v>60006599</v>
      </c>
      <c r="M449" s="461">
        <v>45768</v>
      </c>
      <c r="N449" s="461">
        <v>45768</v>
      </c>
      <c r="O449" s="467" t="s">
        <v>1050</v>
      </c>
      <c r="P449" s="463" t="str">
        <f>IF(LEFT(B449,5)="09735",
    IF(ISNA(VLOOKUP(Tabla13[[#This Row],[Apoyo]],'LM SAP'!A:G,1,FALSE)),
        "No Disponible",
        IF(VLOOKUP(Tabla13[[#This Row],[Apoyo]],'LM SAP'!A:AD,9,FALSE)="RR",
            "Disponible",
            "Firmas SAP"
        )
    ),
    "CONSULTAR"
)</f>
        <v>No Disponible</v>
      </c>
      <c r="Q449" s="460" t="str">
        <f>MID(Tabla13[[#This Row],[Código Indra]],1,13)</f>
        <v>0973523064800</v>
      </c>
      <c r="R449" s="464" t="str">
        <f>IF(ISNA(VLOOKUP(Tabla13[[#This Row],[Código Indra]],#REF!,1,FALSE)),"NO", "SI")</f>
        <v>SI</v>
      </c>
      <c r="S449" s="460" t="str">
        <f>IF(ISNA(VLOOKUP(Tabla13[[#This Row],[Código Indra]],Tabla132[[Código INDRA]:[Nombre]],1,FALSE)),"NO", "SI")</f>
        <v>NO</v>
      </c>
      <c r="T449" s="465"/>
      <c r="U449" s="464" t="s">
        <v>227</v>
      </c>
      <c r="V449" s="464" t="e">
        <f>VLOOKUP(Tabla13[[#This Row],[Apoyo]],'LM SAP'!A:I,9,FALSE)</f>
        <v>#N/A</v>
      </c>
      <c r="X449" s="466">
        <v>0</v>
      </c>
      <c r="Y449" s="464">
        <f>Tabla13[[#This Row],[ID]]</f>
        <v>438</v>
      </c>
    </row>
    <row r="450" spans="1:25" s="550" customFormat="1" ht="48" x14ac:dyDescent="0.25">
      <c r="A450" s="453">
        <v>439</v>
      </c>
      <c r="B450" s="454" t="s">
        <v>2758</v>
      </c>
      <c r="C450" s="469" t="s">
        <v>2759</v>
      </c>
      <c r="D450" s="456" t="s">
        <v>204</v>
      </c>
      <c r="E450" s="457" t="s">
        <v>2760</v>
      </c>
      <c r="F450" s="458">
        <v>1</v>
      </c>
      <c r="G450" s="459"/>
      <c r="H450" s="460"/>
      <c r="I450" s="460" t="s">
        <v>2251</v>
      </c>
      <c r="J450" s="460"/>
      <c r="K450" s="460" t="s">
        <v>1411</v>
      </c>
      <c r="L450" s="460">
        <v>60005554</v>
      </c>
      <c r="M450" s="461">
        <v>45678</v>
      </c>
      <c r="N450" s="461">
        <v>45705</v>
      </c>
      <c r="O450" s="470" t="s">
        <v>2761</v>
      </c>
      <c r="P450" s="463" t="str">
        <f>IF(LEFT(B450,5)="09735",
    IF(ISNA(VLOOKUP(Tabla13[[#This Row],[Apoyo]],'LM SAP'!A:G,1,FALSE)),
        "No Disponible",
        IF(VLOOKUP(Tabla13[[#This Row],[Apoyo]],'LM SAP'!A:AD,9,FALSE)="RR",
            "Disponible",
            "Firmas SAP"
        )
    ),
    "CONSULTAR"
)</f>
        <v>Disponible</v>
      </c>
      <c r="Q450" s="460" t="str">
        <f>MID(Tabla13[[#This Row],[Código Indra]],1,13)</f>
        <v>0973543064900</v>
      </c>
      <c r="R450" s="464" t="str">
        <f>IF(ISNA(VLOOKUP(Tabla13[[#This Row],[Código Indra]],#REF!,1,FALSE)),"NO", "SI")</f>
        <v>SI</v>
      </c>
      <c r="S450" s="460" t="str">
        <f>IF(ISNA(VLOOKUP(Tabla13[[#This Row],[Código Indra]],Tabla132[[Código INDRA]:[Nombre]],1,FALSE)),"NO", "SI")</f>
        <v>NO</v>
      </c>
      <c r="T450" s="465" t="s">
        <v>2159</v>
      </c>
      <c r="U450" s="464" t="s">
        <v>256</v>
      </c>
      <c r="V450" s="464" t="str">
        <f>VLOOKUP(Tabla13[[#This Row],[Apoyo]],'LM SAP'!A:I,9,FALSE)</f>
        <v>RR</v>
      </c>
      <c r="W450" s="464"/>
      <c r="X450" s="466">
        <v>0</v>
      </c>
      <c r="Y450" s="464">
        <f>Tabla13[[#This Row],[ID]]</f>
        <v>439</v>
      </c>
    </row>
    <row r="451" spans="1:25" s="550" customFormat="1" ht="48" x14ac:dyDescent="0.25">
      <c r="A451" s="453">
        <v>440</v>
      </c>
      <c r="B451" s="454" t="s">
        <v>2762</v>
      </c>
      <c r="C451" s="469" t="s">
        <v>2763</v>
      </c>
      <c r="D451" s="456" t="s">
        <v>204</v>
      </c>
      <c r="E451" s="457" t="s">
        <v>2764</v>
      </c>
      <c r="F451" s="458">
        <v>1</v>
      </c>
      <c r="G451" s="459"/>
      <c r="H451" s="460"/>
      <c r="I451" s="460" t="s">
        <v>2251</v>
      </c>
      <c r="J451" s="460"/>
      <c r="K451" s="460" t="s">
        <v>1411</v>
      </c>
      <c r="L451" s="460">
        <v>60005555</v>
      </c>
      <c r="M451" s="461">
        <v>45678</v>
      </c>
      <c r="N451" s="461">
        <v>45698</v>
      </c>
      <c r="O451" s="470" t="s">
        <v>2761</v>
      </c>
      <c r="P451" s="463" t="str">
        <f>IF(LEFT(B451,5)="09735",
    IF(ISNA(VLOOKUP(Tabla13[[#This Row],[Apoyo]],'LM SAP'!A:G,1,FALSE)),
        "No Disponible",
        IF(VLOOKUP(Tabla13[[#This Row],[Apoyo]],'LM SAP'!A:AD,9,FALSE)="RR",
            "Disponible",
            "Firmas SAP"
        )
    ),
    "CONSULTAR"
)</f>
        <v>Disponible</v>
      </c>
      <c r="Q451" s="460" t="str">
        <f>MID(Tabla13[[#This Row],[Código Indra]],1,13)</f>
        <v>0973543065000</v>
      </c>
      <c r="R451" s="464" t="str">
        <f>IF(ISNA(VLOOKUP(Tabla13[[#This Row],[Código Indra]],#REF!,1,FALSE)),"NO", "SI")</f>
        <v>SI</v>
      </c>
      <c r="S451" s="460" t="str">
        <f>IF(ISNA(VLOOKUP(Tabla13[[#This Row],[Código Indra]],Tabla132[[Código INDRA]:[Nombre]],1,FALSE)),"NO", "SI")</f>
        <v>NO</v>
      </c>
      <c r="T451" s="465" t="s">
        <v>2159</v>
      </c>
      <c r="U451" s="464" t="s">
        <v>256</v>
      </c>
      <c r="V451" s="464" t="str">
        <f>VLOOKUP(Tabla13[[#This Row],[Apoyo]],'LM SAP'!A:I,9,FALSE)</f>
        <v>RR</v>
      </c>
      <c r="W451" s="464"/>
      <c r="X451" s="466">
        <v>0</v>
      </c>
      <c r="Y451" s="464">
        <f>Tabla13[[#This Row],[ID]]</f>
        <v>440</v>
      </c>
    </row>
    <row r="452" spans="1:25" s="550" customFormat="1" ht="36" x14ac:dyDescent="0.25">
      <c r="A452" s="453">
        <v>441</v>
      </c>
      <c r="B452" s="454" t="s">
        <v>2765</v>
      </c>
      <c r="C452" s="469" t="s">
        <v>2766</v>
      </c>
      <c r="D452" s="456" t="s">
        <v>204</v>
      </c>
      <c r="E452" s="457" t="s">
        <v>2767</v>
      </c>
      <c r="F452" s="458">
        <v>1</v>
      </c>
      <c r="G452" s="459"/>
      <c r="H452" s="460"/>
      <c r="I452" s="460" t="s">
        <v>2251</v>
      </c>
      <c r="J452" s="460"/>
      <c r="K452" s="460" t="s">
        <v>1411</v>
      </c>
      <c r="L452" s="460">
        <v>60005556</v>
      </c>
      <c r="M452" s="461">
        <v>45678</v>
      </c>
      <c r="N452" s="461">
        <v>45736</v>
      </c>
      <c r="O452" s="475" t="s">
        <v>300</v>
      </c>
      <c r="P452" s="463" t="str">
        <f>IF(LEFT(B452,5)="09735",
    IF(ISNA(VLOOKUP(Tabla13[[#This Row],[Apoyo]],'LM SAP'!A:G,1,FALSE)),
        "No Disponible",
        IF(VLOOKUP(Tabla13[[#This Row],[Apoyo]],'LM SAP'!A:AD,9,FALSE)="RR",
            "Disponible",
            "Firmas SAP"
        )
    ),
    "CONSULTAR"
)</f>
        <v>Disponible</v>
      </c>
      <c r="Q452" s="460" t="str">
        <f>MID(Tabla13[[#This Row],[Código Indra]],1,13)</f>
        <v>0973543065100</v>
      </c>
      <c r="R452" s="464" t="str">
        <f>IF(ISNA(VLOOKUP(Tabla13[[#This Row],[Código Indra]],#REF!,1,FALSE)),"NO", "SI")</f>
        <v>SI</v>
      </c>
      <c r="S452" s="460" t="str">
        <f>IF(ISNA(VLOOKUP(Tabla13[[#This Row],[Código Indra]],Tabla132[[Código INDRA]:[Nombre]],1,FALSE)),"NO", "SI")</f>
        <v>NO</v>
      </c>
      <c r="T452" s="465" t="s">
        <v>2159</v>
      </c>
      <c r="U452" s="464" t="s">
        <v>256</v>
      </c>
      <c r="V452" s="464" t="str">
        <f>VLOOKUP(Tabla13[[#This Row],[Apoyo]],'LM SAP'!A:I,9,FALSE)</f>
        <v>RR</v>
      </c>
      <c r="W452" s="464"/>
      <c r="X452" s="466">
        <v>0</v>
      </c>
      <c r="Y452" s="464">
        <f>Tabla13[[#This Row],[ID]]</f>
        <v>441</v>
      </c>
    </row>
    <row r="453" spans="1:25" s="464" customFormat="1" ht="24" x14ac:dyDescent="0.25">
      <c r="A453" s="453">
        <v>442</v>
      </c>
      <c r="B453" s="480" t="s">
        <v>2768</v>
      </c>
      <c r="C453" s="469" t="s">
        <v>2769</v>
      </c>
      <c r="D453" s="456" t="s">
        <v>204</v>
      </c>
      <c r="E453" s="457" t="s">
        <v>2770</v>
      </c>
      <c r="F453" s="458">
        <v>1</v>
      </c>
      <c r="G453" s="459"/>
      <c r="H453" s="460"/>
      <c r="I453" s="460" t="s">
        <v>2251</v>
      </c>
      <c r="J453" s="460"/>
      <c r="K453" s="460" t="s">
        <v>1411</v>
      </c>
      <c r="L453" s="460">
        <v>60006600</v>
      </c>
      <c r="M453" s="461">
        <v>45768</v>
      </c>
      <c r="N453" s="461">
        <v>45796</v>
      </c>
      <c r="O453" s="470" t="s">
        <v>2091</v>
      </c>
      <c r="P453" s="463" t="str">
        <f>IF(LEFT(B453,5)="09735",
    IF(ISNA(VLOOKUP(Tabla13[[#This Row],[Apoyo]],'LM SAP'!A:G,1,FALSE)),
        "No Disponible",
        IF(VLOOKUP(Tabla13[[#This Row],[Apoyo]],'LM SAP'!A:AD,9,FALSE)="RR",
            "Disponible",
            "Firmas SAP"
        )
    ),
    "CONSULTAR"
)</f>
        <v>No Disponible</v>
      </c>
      <c r="Q453" s="460" t="str">
        <f>MID(Tabla13[[#This Row],[Código Indra]],1,13)</f>
        <v>0973523065200</v>
      </c>
      <c r="R453" s="464" t="str">
        <f>IF(ISNA(VLOOKUP(Tabla13[[#This Row],[Código Indra]],#REF!,1,FALSE)),"NO", "SI")</f>
        <v>SI</v>
      </c>
      <c r="S453" s="460" t="str">
        <f>IF(ISNA(VLOOKUP(Tabla13[[#This Row],[Código Indra]],Tabla132[[Código INDRA]:[Nombre]],1,FALSE)),"NO", "SI")</f>
        <v>NO</v>
      </c>
      <c r="T453" s="465"/>
      <c r="U453" s="464" t="s">
        <v>256</v>
      </c>
      <c r="V453" s="464" t="e">
        <f>VLOOKUP(Tabla13[[#This Row],[Apoyo]],'LM SAP'!A:I,9,FALSE)</f>
        <v>#N/A</v>
      </c>
      <c r="X453" s="466">
        <v>0</v>
      </c>
      <c r="Y453" s="464">
        <f>Tabla13[[#This Row],[ID]]</f>
        <v>442</v>
      </c>
    </row>
    <row r="454" spans="1:25" s="464" customFormat="1" ht="24" x14ac:dyDescent="0.25">
      <c r="A454" s="453">
        <v>443</v>
      </c>
      <c r="B454" s="454" t="s">
        <v>2771</v>
      </c>
      <c r="C454" s="469" t="s">
        <v>2772</v>
      </c>
      <c r="D454" s="456" t="s">
        <v>204</v>
      </c>
      <c r="E454" s="457" t="s">
        <v>2773</v>
      </c>
      <c r="F454" s="458">
        <v>1</v>
      </c>
      <c r="G454" s="543" t="s">
        <v>2768</v>
      </c>
      <c r="H454" s="460"/>
      <c r="I454" s="460" t="s">
        <v>2251</v>
      </c>
      <c r="J454" s="460"/>
      <c r="K454" s="460" t="s">
        <v>1411</v>
      </c>
      <c r="L454" s="460">
        <v>60006600</v>
      </c>
      <c r="M454" s="461">
        <v>45768</v>
      </c>
      <c r="N454" s="461"/>
      <c r="O454" s="513" t="s">
        <v>2774</v>
      </c>
      <c r="P454" s="463" t="str">
        <f>IF(LEFT(B454,5)="09735",
    IF(ISNA(VLOOKUP(Tabla13[[#This Row],[Apoyo]],'LM SAP'!A:G,1,FALSE)),
        "No Disponible",
        IF(VLOOKUP(Tabla13[[#This Row],[Apoyo]],'LM SAP'!A:AD,9,FALSE)="RR",
            "Disponible",
            "Firmas SAP"
        )
    ),
    "CONSULTAR"
)</f>
        <v>No Disponible</v>
      </c>
      <c r="Q454" s="460" t="str">
        <f>MID(Tabla13[[#This Row],[Código Indra]],1,13)</f>
        <v>0973543065300</v>
      </c>
      <c r="R454" s="464" t="str">
        <f>IF(ISNA(VLOOKUP(Tabla13[[#This Row],[Código Indra]],#REF!,1,FALSE)),"NO", "SI")</f>
        <v>SI</v>
      </c>
      <c r="S454" s="460" t="str">
        <f>IF(ISNA(VLOOKUP(Tabla13[[#This Row],[Código Indra]],Tabla132[[Código INDRA]:[Nombre]],1,FALSE)),"NO", "SI")</f>
        <v>NO</v>
      </c>
      <c r="T454" s="465"/>
      <c r="U454" s="464" t="s">
        <v>256</v>
      </c>
      <c r="V454" s="464" t="e">
        <f>VLOOKUP(Tabla13[[#This Row],[Apoyo]],'LM SAP'!A:I,9,FALSE)</f>
        <v>#N/A</v>
      </c>
      <c r="X454" s="466">
        <v>0</v>
      </c>
      <c r="Y454" s="464">
        <f>Tabla13[[#This Row],[ID]]</f>
        <v>443</v>
      </c>
    </row>
    <row r="455" spans="1:25" s="464" customFormat="1" ht="24" x14ac:dyDescent="0.25">
      <c r="A455" s="453">
        <v>444</v>
      </c>
      <c r="B455" s="454" t="s">
        <v>2775</v>
      </c>
      <c r="C455" s="469" t="s">
        <v>2776</v>
      </c>
      <c r="D455" s="456" t="s">
        <v>204</v>
      </c>
      <c r="E455" s="457" t="s">
        <v>2777</v>
      </c>
      <c r="F455" s="458">
        <v>1</v>
      </c>
      <c r="G455" s="543" t="s">
        <v>2768</v>
      </c>
      <c r="H455" s="460"/>
      <c r="I455" s="460" t="s">
        <v>2251</v>
      </c>
      <c r="J455" s="460"/>
      <c r="K455" s="460" t="s">
        <v>1411</v>
      </c>
      <c r="L455" s="460">
        <v>60006600</v>
      </c>
      <c r="M455" s="461">
        <v>45768</v>
      </c>
      <c r="N455" s="461"/>
      <c r="O455" s="513" t="s">
        <v>2774</v>
      </c>
      <c r="P455" s="463" t="str">
        <f>IF(LEFT(B455,5)="09735",
    IF(ISNA(VLOOKUP(Tabla13[[#This Row],[Apoyo]],'LM SAP'!A:G,1,FALSE)),
        "No Disponible",
        IF(VLOOKUP(Tabla13[[#This Row],[Apoyo]],'LM SAP'!A:AD,9,FALSE)="RR",
            "Disponible",
            "Firmas SAP"
        )
    ),
    "CONSULTAR"
)</f>
        <v>No Disponible</v>
      </c>
      <c r="Q455" s="460" t="str">
        <f>MID(Tabla13[[#This Row],[Código Indra]],1,13)</f>
        <v>0973543065400</v>
      </c>
      <c r="R455" s="464" t="str">
        <f>IF(ISNA(VLOOKUP(Tabla13[[#This Row],[Código Indra]],#REF!,1,FALSE)),"NO", "SI")</f>
        <v>SI</v>
      </c>
      <c r="S455" s="460" t="str">
        <f>IF(ISNA(VLOOKUP(Tabla13[[#This Row],[Código Indra]],Tabla132[[Código INDRA]:[Nombre]],1,FALSE)),"NO", "SI")</f>
        <v>NO</v>
      </c>
      <c r="T455" s="465"/>
      <c r="U455" s="464" t="s">
        <v>256</v>
      </c>
      <c r="V455" s="464" t="e">
        <f>VLOOKUP(Tabla13[[#This Row],[Apoyo]],'LM SAP'!A:I,9,FALSE)</f>
        <v>#N/A</v>
      </c>
      <c r="X455" s="466">
        <v>0</v>
      </c>
      <c r="Y455" s="464">
        <f>Tabla13[[#This Row],[ID]]</f>
        <v>444</v>
      </c>
    </row>
    <row r="456" spans="1:25" s="464" customFormat="1" ht="24" x14ac:dyDescent="0.25">
      <c r="A456" s="453">
        <v>445</v>
      </c>
      <c r="B456" s="454" t="s">
        <v>2778</v>
      </c>
      <c r="C456" s="469" t="s">
        <v>2779</v>
      </c>
      <c r="D456" s="456" t="s">
        <v>204</v>
      </c>
      <c r="E456" s="457" t="s">
        <v>2780</v>
      </c>
      <c r="F456" s="458">
        <v>1</v>
      </c>
      <c r="G456" s="543" t="s">
        <v>2768</v>
      </c>
      <c r="H456" s="460"/>
      <c r="I456" s="460" t="s">
        <v>2251</v>
      </c>
      <c r="J456" s="460"/>
      <c r="K456" s="460" t="s">
        <v>1411</v>
      </c>
      <c r="L456" s="460">
        <v>60006600</v>
      </c>
      <c r="M456" s="461">
        <v>45768</v>
      </c>
      <c r="N456" s="461"/>
      <c r="O456" s="513" t="s">
        <v>2774</v>
      </c>
      <c r="P456" s="463" t="str">
        <f>IF(LEFT(B456,5)="09735",
    IF(ISNA(VLOOKUP(Tabla13[[#This Row],[Apoyo]],'LM SAP'!A:G,1,FALSE)),
        "No Disponible",
        IF(VLOOKUP(Tabla13[[#This Row],[Apoyo]],'LM SAP'!A:AD,9,FALSE)="RR",
            "Disponible",
            "Firmas SAP"
        )
    ),
    "CONSULTAR"
)</f>
        <v>No Disponible</v>
      </c>
      <c r="Q456" s="460" t="str">
        <f>MID(Tabla13[[#This Row],[Código Indra]],1,13)</f>
        <v>0973543065500</v>
      </c>
      <c r="R456" s="464" t="str">
        <f>IF(ISNA(VLOOKUP(Tabla13[[#This Row],[Código Indra]],#REF!,1,FALSE)),"NO", "SI")</f>
        <v>SI</v>
      </c>
      <c r="S456" s="460" t="str">
        <f>IF(ISNA(VLOOKUP(Tabla13[[#This Row],[Código Indra]],Tabla132[[Código INDRA]:[Nombre]],1,FALSE)),"NO", "SI")</f>
        <v>NO</v>
      </c>
      <c r="T456" s="465"/>
      <c r="U456" s="464" t="s">
        <v>256</v>
      </c>
      <c r="V456" s="464" t="e">
        <f>VLOOKUP(Tabla13[[#This Row],[Apoyo]],'LM SAP'!A:I,9,FALSE)</f>
        <v>#N/A</v>
      </c>
      <c r="X456" s="466">
        <v>0</v>
      </c>
      <c r="Y456" s="464">
        <f>Tabla13[[#This Row],[ID]]</f>
        <v>445</v>
      </c>
    </row>
    <row r="457" spans="1:25" s="464" customFormat="1" x14ac:dyDescent="0.25">
      <c r="A457" s="453">
        <v>446</v>
      </c>
      <c r="B457" s="454" t="s">
        <v>205</v>
      </c>
      <c r="C457" s="455" t="s">
        <v>206</v>
      </c>
      <c r="D457" s="456"/>
      <c r="E457" s="457" t="s">
        <v>2781</v>
      </c>
      <c r="F457" s="458">
        <v>1</v>
      </c>
      <c r="G457" s="459"/>
      <c r="H457" s="460"/>
      <c r="I457" s="460" t="s">
        <v>2251</v>
      </c>
      <c r="J457" s="460"/>
      <c r="K457" s="460" t="s">
        <v>1411</v>
      </c>
      <c r="L457" s="460">
        <v>60005937</v>
      </c>
      <c r="M457" s="461">
        <v>45707</v>
      </c>
      <c r="N457" s="461">
        <v>45722</v>
      </c>
      <c r="O457" s="476" t="s">
        <v>2091</v>
      </c>
      <c r="P457" s="463" t="str">
        <f>IF(LEFT(B457,5)="09735",
    IF(ISNA(VLOOKUP(Tabla13[[#This Row],[Apoyo]],'LM SAP'!A:G,1,FALSE)),
        "No Disponible",
        IF(VLOOKUP(Tabla13[[#This Row],[Apoyo]],'LM SAP'!A:AD,9,FALSE)="RR",
            "Disponible",
            "Firmas SAP"
        )
    ),
    "CONSULTAR"
)</f>
        <v>No Disponible</v>
      </c>
      <c r="Q457" s="460" t="str">
        <f>MID(Tabla13[[#This Row],[Código Indra]],1,13)</f>
        <v>0973523066000</v>
      </c>
      <c r="R457" s="464" t="str">
        <f>IF(ISNA(VLOOKUP(Tabla13[[#This Row],[Código Indra]],#REF!,1,FALSE)),"NO", "SI")</f>
        <v>SI</v>
      </c>
      <c r="S457" s="460" t="str">
        <f>IF(ISNA(VLOOKUP(Tabla13[[#This Row],[Código Indra]],Tabla132[[Código INDRA]:[Nombre]],1,FALSE)),"NO", "SI")</f>
        <v>SI</v>
      </c>
      <c r="T457" s="465"/>
      <c r="U457" s="464" t="s">
        <v>227</v>
      </c>
      <c r="V457" s="464" t="e">
        <f>VLOOKUP(Tabla13[[#This Row],[Apoyo]],'LM SAP'!A:I,9,FALSE)</f>
        <v>#N/A</v>
      </c>
      <c r="X457" s="466">
        <v>0</v>
      </c>
      <c r="Y457" s="464">
        <f>Tabla13[[#This Row],[ID]]</f>
        <v>446</v>
      </c>
    </row>
    <row r="458" spans="1:25" s="464" customFormat="1" ht="24" x14ac:dyDescent="0.25">
      <c r="A458" s="453">
        <v>447</v>
      </c>
      <c r="B458" s="454" t="s">
        <v>2782</v>
      </c>
      <c r="C458" s="469" t="s">
        <v>2783</v>
      </c>
      <c r="D458" s="456" t="s">
        <v>206</v>
      </c>
      <c r="E458" s="457" t="s">
        <v>2784</v>
      </c>
      <c r="F458" s="458">
        <v>1</v>
      </c>
      <c r="G458" s="465" t="s">
        <v>205</v>
      </c>
      <c r="H458" s="460"/>
      <c r="I458" s="460" t="s">
        <v>2251</v>
      </c>
      <c r="J458" s="460"/>
      <c r="K458" s="460" t="s">
        <v>1411</v>
      </c>
      <c r="L458" s="460">
        <v>60005937</v>
      </c>
      <c r="M458" s="461">
        <v>45707</v>
      </c>
      <c r="N458" s="461"/>
      <c r="O458" s="476"/>
      <c r="P458" s="463" t="str">
        <f>IF(LEFT(B458,5)="09735",
    IF(ISNA(VLOOKUP(Tabla13[[#This Row],[Apoyo]],'LM SAP'!A:G,1,FALSE)),
        "No Disponible",
        IF(VLOOKUP(Tabla13[[#This Row],[Apoyo]],'LM SAP'!A:AD,9,FALSE)="RR",
            "Disponible",
            "Firmas SAP"
        )
    ),
    "CONSULTAR"
)</f>
        <v>No Disponible</v>
      </c>
      <c r="Q458" s="460" t="str">
        <f>MID(Tabla13[[#This Row],[Código Indra]],1,13)</f>
        <v>0973543066100</v>
      </c>
      <c r="R458" s="464" t="str">
        <f>IF(ISNA(VLOOKUP(Tabla13[[#This Row],[Código Indra]],#REF!,1,FALSE)),"NO", "SI")</f>
        <v>SI</v>
      </c>
      <c r="S458" s="460" t="str">
        <f>IF(ISNA(VLOOKUP(Tabla13[[#This Row],[Código Indra]],Tabla132[[Código INDRA]:[Nombre]],1,FALSE)),"NO", "SI")</f>
        <v>NO</v>
      </c>
      <c r="T458" s="465" t="s">
        <v>2159</v>
      </c>
      <c r="U458" s="464" t="s">
        <v>256</v>
      </c>
      <c r="V458" s="464" t="e">
        <f>VLOOKUP(Tabla13[[#This Row],[Apoyo]],'LM SAP'!A:I,9,FALSE)</f>
        <v>#N/A</v>
      </c>
      <c r="X458" s="466">
        <v>0</v>
      </c>
      <c r="Y458" s="464">
        <f>Tabla13[[#This Row],[ID]]</f>
        <v>447</v>
      </c>
    </row>
    <row r="459" spans="1:25" s="464" customFormat="1" ht="60" x14ac:dyDescent="0.25">
      <c r="A459" s="453">
        <v>448</v>
      </c>
      <c r="B459" s="471" t="s">
        <v>207</v>
      </c>
      <c r="C459" s="455" t="s">
        <v>208</v>
      </c>
      <c r="D459" s="455" t="s">
        <v>208</v>
      </c>
      <c r="E459" s="457" t="s">
        <v>2785</v>
      </c>
      <c r="F459" s="458">
        <v>1</v>
      </c>
      <c r="G459" s="514" t="s">
        <v>207</v>
      </c>
      <c r="H459" s="460"/>
      <c r="I459" s="460" t="s">
        <v>2251</v>
      </c>
      <c r="J459" s="460"/>
      <c r="K459" s="460" t="s">
        <v>220</v>
      </c>
      <c r="L459" s="460">
        <v>60006835</v>
      </c>
      <c r="M459" s="461">
        <v>45798</v>
      </c>
      <c r="N459" s="461"/>
      <c r="O459" s="462" t="s">
        <v>2786</v>
      </c>
      <c r="P459" s="463" t="str">
        <f>IF(LEFT(B459,5)="09735",
    IF(ISNA(VLOOKUP(Tabla13[[#This Row],[Apoyo]],'LM SAP'!A:G,1,FALSE)),
        "No Disponible",
        IF(VLOOKUP(Tabla13[[#This Row],[Apoyo]],'LM SAP'!A:AD,9,FALSE)="RR",
            "Disponible",
            "Firmas SAP"
        )
    ),
    "CONSULTAR"
)</f>
        <v>No Disponible</v>
      </c>
      <c r="Q459" s="460" t="str">
        <f>MID(Tabla13[[#This Row],[Código Indra]],1,13)</f>
        <v>0973523067000</v>
      </c>
      <c r="R459" s="464" t="str">
        <f>IF(ISNA(VLOOKUP(Tabla13[[#This Row],[Código Indra]],#REF!,1,FALSE)),"NO", "SI")</f>
        <v>SI</v>
      </c>
      <c r="S459" s="460" t="str">
        <f>IF(ISNA(VLOOKUP(Tabla13[[#This Row],[Código Indra]],Tabla132[[Código INDRA]:[Nombre]],1,FALSE)),"NO", "SI")</f>
        <v>SI</v>
      </c>
      <c r="T459" s="465"/>
      <c r="V459" s="464" t="e">
        <f>VLOOKUP(Tabla13[[#This Row],[Apoyo]],'LM SAP'!A:I,9,FALSE)</f>
        <v>#N/A</v>
      </c>
      <c r="X459" s="466">
        <v>0</v>
      </c>
      <c r="Y459" s="464">
        <f>Tabla13[[#This Row],[ID]]</f>
        <v>448</v>
      </c>
    </row>
    <row r="460" spans="1:25" s="464" customFormat="1" ht="36" x14ac:dyDescent="0.25">
      <c r="A460" s="453">
        <v>449</v>
      </c>
      <c r="B460" s="480" t="s">
        <v>1446</v>
      </c>
      <c r="C460" s="455" t="s">
        <v>210</v>
      </c>
      <c r="D460" s="456" t="s">
        <v>210</v>
      </c>
      <c r="E460" s="457" t="s">
        <v>2787</v>
      </c>
      <c r="F460" s="458">
        <v>1</v>
      </c>
      <c r="G460" s="459"/>
      <c r="H460" s="460"/>
      <c r="I460" s="460" t="s">
        <v>2251</v>
      </c>
      <c r="J460" s="460"/>
      <c r="K460" s="460" t="s">
        <v>1411</v>
      </c>
      <c r="L460" s="460">
        <v>60006187</v>
      </c>
      <c r="M460" s="461">
        <v>45719</v>
      </c>
      <c r="N460" s="461">
        <v>45743</v>
      </c>
      <c r="O460" s="470" t="s">
        <v>2788</v>
      </c>
      <c r="P460" s="463" t="str">
        <f>IF(LEFT(B460,5)="09735",
    IF(ISNA(VLOOKUP(Tabla13[[#This Row],[Apoyo]],'LM SAP'!A:G,1,FALSE)),
        "No Disponible",
        IF(VLOOKUP(Tabla13[[#This Row],[Apoyo]],'LM SAP'!A:AD,9,FALSE)="RR",
            "Disponible",
            "Firmas SAP"
        )
    ),
    "CONSULTAR"
)</f>
        <v>No Disponible</v>
      </c>
      <c r="Q460" s="460" t="str">
        <f>MID(Tabla13[[#This Row],[Código Indra]],1,13)</f>
        <v>0973523068700</v>
      </c>
      <c r="R460" s="464" t="str">
        <f>IF(ISNA(VLOOKUP(Tabla13[[#This Row],[Código Indra]],#REF!,1,FALSE)),"NO", "SI")</f>
        <v>SI</v>
      </c>
      <c r="S460" s="460" t="str">
        <f>IF(ISNA(VLOOKUP(Tabla13[[#This Row],[Código Indra]],Tabla132[[Código INDRA]:[Nombre]],1,FALSE)),"NO", "SI")</f>
        <v>SI</v>
      </c>
      <c r="T460" s="465"/>
      <c r="U460" s="464" t="s">
        <v>227</v>
      </c>
      <c r="V460" s="464" t="e">
        <f>VLOOKUP(Tabla13[[#This Row],[Apoyo]],'LM SAP'!A:I,9,FALSE)</f>
        <v>#N/A</v>
      </c>
      <c r="X460" s="466">
        <v>0</v>
      </c>
      <c r="Y460" s="464">
        <f>Tabla13[[#This Row],[ID]]</f>
        <v>449</v>
      </c>
    </row>
    <row r="461" spans="1:25" s="464" customFormat="1" x14ac:dyDescent="0.25">
      <c r="A461" s="453">
        <v>450</v>
      </c>
      <c r="B461" s="454" t="s">
        <v>2789</v>
      </c>
      <c r="C461" s="469" t="s">
        <v>2790</v>
      </c>
      <c r="D461" s="456" t="s">
        <v>210</v>
      </c>
      <c r="E461" s="457" t="s">
        <v>2791</v>
      </c>
      <c r="F461" s="458">
        <v>1</v>
      </c>
      <c r="G461" s="543" t="s">
        <v>1446</v>
      </c>
      <c r="H461" s="460"/>
      <c r="I461" s="460" t="s">
        <v>2251</v>
      </c>
      <c r="J461" s="460"/>
      <c r="K461" s="460" t="s">
        <v>1533</v>
      </c>
      <c r="L461" s="460">
        <v>60006187</v>
      </c>
      <c r="M461" s="461">
        <v>45719</v>
      </c>
      <c r="N461" s="461">
        <v>45743</v>
      </c>
      <c r="O461" s="470" t="s">
        <v>2788</v>
      </c>
      <c r="P461" s="463" t="str">
        <f>IF(LEFT(B461,5)="09735",
    IF(ISNA(VLOOKUP(Tabla13[[#This Row],[Apoyo]],'LM SAP'!A:G,1,FALSE)),
        "No Disponible",
        IF(VLOOKUP(Tabla13[[#This Row],[Apoyo]],'LM SAP'!A:AD,9,FALSE)="RR",
            "Disponible",
            "Firmas SAP"
        )
    ),
    "CONSULTAR"
)</f>
        <v>Disponible</v>
      </c>
      <c r="Q461" s="460" t="str">
        <f>MID(Tabla13[[#This Row],[Código Indra]],1,13)</f>
        <v>0973543068800</v>
      </c>
      <c r="R461" s="464" t="str">
        <f>IF(ISNA(VLOOKUP(Tabla13[[#This Row],[Código Indra]],#REF!,1,FALSE)),"NO", "SI")</f>
        <v>SI</v>
      </c>
      <c r="S461" s="460" t="str">
        <f>IF(ISNA(VLOOKUP(Tabla13[[#This Row],[Código Indra]],Tabla132[[Código INDRA]:[Nombre]],1,FALSE)),"NO", "SI")</f>
        <v>NO</v>
      </c>
      <c r="T461" s="465"/>
      <c r="U461" s="464" t="s">
        <v>256</v>
      </c>
      <c r="V461" s="464" t="str">
        <f>VLOOKUP(Tabla13[[#This Row],[Apoyo]],'LM SAP'!A:I,9,FALSE)</f>
        <v>RR</v>
      </c>
      <c r="X461" s="466">
        <v>0</v>
      </c>
      <c r="Y461" s="464">
        <f>Tabla13[[#This Row],[ID]]</f>
        <v>450</v>
      </c>
    </row>
    <row r="462" spans="1:25" s="464" customFormat="1" x14ac:dyDescent="0.25">
      <c r="A462" s="453">
        <v>451</v>
      </c>
      <c r="B462" s="454" t="s">
        <v>2792</v>
      </c>
      <c r="C462" s="469" t="s">
        <v>2793</v>
      </c>
      <c r="D462" s="456" t="s">
        <v>210</v>
      </c>
      <c r="E462" s="457" t="s">
        <v>2794</v>
      </c>
      <c r="F462" s="458">
        <v>1</v>
      </c>
      <c r="G462" s="543" t="s">
        <v>1446</v>
      </c>
      <c r="H462" s="460"/>
      <c r="I462" s="460" t="s">
        <v>2251</v>
      </c>
      <c r="J462" s="460"/>
      <c r="K462" s="460" t="s">
        <v>1533</v>
      </c>
      <c r="L462" s="460">
        <v>60006187</v>
      </c>
      <c r="M462" s="461">
        <v>45719</v>
      </c>
      <c r="N462" s="461">
        <v>45743</v>
      </c>
      <c r="O462" s="470" t="s">
        <v>2788</v>
      </c>
      <c r="P462" s="463" t="str">
        <f>IF(LEFT(B462,5)="09735",
    IF(ISNA(VLOOKUP(Tabla13[[#This Row],[Apoyo]],'LM SAP'!A:G,1,FALSE)),
        "No Disponible",
        IF(VLOOKUP(Tabla13[[#This Row],[Apoyo]],'LM SAP'!A:AD,9,FALSE)="RR",
            "Disponible",
            "Firmas SAP"
        )
    ),
    "CONSULTAR"
)</f>
        <v>Disponible</v>
      </c>
      <c r="Q462" s="460" t="str">
        <f>MID(Tabla13[[#This Row],[Código Indra]],1,13)</f>
        <v>0973543068900</v>
      </c>
      <c r="R462" s="464" t="str">
        <f>IF(ISNA(VLOOKUP(Tabla13[[#This Row],[Código Indra]],#REF!,1,FALSE)),"NO", "SI")</f>
        <v>SI</v>
      </c>
      <c r="S462" s="460" t="str">
        <f>IF(ISNA(VLOOKUP(Tabla13[[#This Row],[Código Indra]],Tabla132[[Código INDRA]:[Nombre]],1,FALSE)),"NO", "SI")</f>
        <v>NO</v>
      </c>
      <c r="T462" s="465"/>
      <c r="U462" s="464" t="s">
        <v>256</v>
      </c>
      <c r="V462" s="464" t="str">
        <f>VLOOKUP(Tabla13[[#This Row],[Apoyo]],'LM SAP'!A:I,9,FALSE)</f>
        <v>RR</v>
      </c>
      <c r="X462" s="466">
        <v>0</v>
      </c>
      <c r="Y462" s="464">
        <f>Tabla13[[#This Row],[ID]]</f>
        <v>451</v>
      </c>
    </row>
    <row r="463" spans="1:25" s="464" customFormat="1" x14ac:dyDescent="0.25">
      <c r="A463" s="453">
        <v>452</v>
      </c>
      <c r="B463" s="454" t="s">
        <v>2795</v>
      </c>
      <c r="C463" s="469" t="s">
        <v>2796</v>
      </c>
      <c r="D463" s="456" t="s">
        <v>210</v>
      </c>
      <c r="E463" s="457" t="s">
        <v>2797</v>
      </c>
      <c r="F463" s="458">
        <v>1</v>
      </c>
      <c r="G463" s="543" t="s">
        <v>1446</v>
      </c>
      <c r="H463" s="460"/>
      <c r="I463" s="460" t="s">
        <v>2251</v>
      </c>
      <c r="J463" s="460"/>
      <c r="K463" s="460" t="s">
        <v>1533</v>
      </c>
      <c r="L463" s="460">
        <v>60006187</v>
      </c>
      <c r="M463" s="461">
        <v>45719</v>
      </c>
      <c r="N463" s="461">
        <v>45743</v>
      </c>
      <c r="O463" s="470" t="s">
        <v>2788</v>
      </c>
      <c r="P463" s="463" t="str">
        <f>IF(LEFT(B463,5)="09735",
    IF(ISNA(VLOOKUP(Tabla13[[#This Row],[Apoyo]],'LM SAP'!A:G,1,FALSE)),
        "No Disponible",
        IF(VLOOKUP(Tabla13[[#This Row],[Apoyo]],'LM SAP'!A:AD,9,FALSE)="RR",
            "Disponible",
            "Firmas SAP"
        )
    ),
    "CONSULTAR"
)</f>
        <v>Disponible</v>
      </c>
      <c r="Q463" s="460" t="str">
        <f>MID(Tabla13[[#This Row],[Código Indra]],1,13)</f>
        <v>0973543069000</v>
      </c>
      <c r="R463" s="464" t="str">
        <f>IF(ISNA(VLOOKUP(Tabla13[[#This Row],[Código Indra]],#REF!,1,FALSE)),"NO", "SI")</f>
        <v>SI</v>
      </c>
      <c r="S463" s="460" t="str">
        <f>IF(ISNA(VLOOKUP(Tabla13[[#This Row],[Código Indra]],Tabla132[[Código INDRA]:[Nombre]],1,FALSE)),"NO", "SI")</f>
        <v>NO</v>
      </c>
      <c r="T463" s="465"/>
      <c r="U463" s="464" t="s">
        <v>256</v>
      </c>
      <c r="V463" s="464" t="str">
        <f>VLOOKUP(Tabla13[[#This Row],[Apoyo]],'LM SAP'!A:I,9,FALSE)</f>
        <v>RR</v>
      </c>
      <c r="X463" s="466">
        <v>0</v>
      </c>
      <c r="Y463" s="464">
        <f>Tabla13[[#This Row],[ID]]</f>
        <v>452</v>
      </c>
    </row>
    <row r="464" spans="1:25" s="464" customFormat="1" x14ac:dyDescent="0.25">
      <c r="A464" s="453">
        <v>453</v>
      </c>
      <c r="B464" s="454" t="s">
        <v>2798</v>
      </c>
      <c r="C464" s="469" t="s">
        <v>2799</v>
      </c>
      <c r="D464" s="456" t="s">
        <v>210</v>
      </c>
      <c r="E464" s="457" t="s">
        <v>2800</v>
      </c>
      <c r="F464" s="458">
        <v>1</v>
      </c>
      <c r="G464" s="543" t="s">
        <v>1446</v>
      </c>
      <c r="H464" s="460"/>
      <c r="I464" s="460" t="s">
        <v>2251</v>
      </c>
      <c r="J464" s="460"/>
      <c r="K464" s="460" t="s">
        <v>1533</v>
      </c>
      <c r="L464" s="460">
        <v>60006187</v>
      </c>
      <c r="M464" s="461">
        <v>45719</v>
      </c>
      <c r="N464" s="461">
        <v>45743</v>
      </c>
      <c r="O464" s="470" t="s">
        <v>2788</v>
      </c>
      <c r="P464" s="463" t="str">
        <f>IF(LEFT(B464,5)="09735",
    IF(ISNA(VLOOKUP(Tabla13[[#This Row],[Apoyo]],'LM SAP'!A:G,1,FALSE)),
        "No Disponible",
        IF(VLOOKUP(Tabla13[[#This Row],[Apoyo]],'LM SAP'!A:AD,9,FALSE)="RR",
            "Disponible",
            "Firmas SAP"
        )
    ),
    "CONSULTAR"
)</f>
        <v>Disponible</v>
      </c>
      <c r="Q464" s="460" t="str">
        <f>MID(Tabla13[[#This Row],[Código Indra]],1,13)</f>
        <v>0973543069100</v>
      </c>
      <c r="R464" s="464" t="str">
        <f>IF(ISNA(VLOOKUP(Tabla13[[#This Row],[Código Indra]],#REF!,1,FALSE)),"NO", "SI")</f>
        <v>SI</v>
      </c>
      <c r="S464" s="460" t="str">
        <f>IF(ISNA(VLOOKUP(Tabla13[[#This Row],[Código Indra]],Tabla132[[Código INDRA]:[Nombre]],1,FALSE)),"NO", "SI")</f>
        <v>NO</v>
      </c>
      <c r="T464" s="465"/>
      <c r="U464" s="464" t="s">
        <v>256</v>
      </c>
      <c r="V464" s="464" t="str">
        <f>VLOOKUP(Tabla13[[#This Row],[Apoyo]],'LM SAP'!A:I,9,FALSE)</f>
        <v>RR</v>
      </c>
      <c r="X464" s="466">
        <v>0</v>
      </c>
      <c r="Y464" s="464">
        <f>Tabla13[[#This Row],[ID]]</f>
        <v>453</v>
      </c>
    </row>
    <row r="465" spans="1:25" s="464" customFormat="1" ht="36" x14ac:dyDescent="0.25">
      <c r="A465" s="453">
        <v>454</v>
      </c>
      <c r="B465" s="496" t="s">
        <v>158</v>
      </c>
      <c r="C465" s="455" t="s">
        <v>159</v>
      </c>
      <c r="D465" s="456"/>
      <c r="E465" s="457" t="s">
        <v>2801</v>
      </c>
      <c r="F465" s="458">
        <v>1</v>
      </c>
      <c r="G465" s="459"/>
      <c r="H465" s="460"/>
      <c r="I465" s="460" t="s">
        <v>591</v>
      </c>
      <c r="J465" s="460"/>
      <c r="K465" s="460" t="s">
        <v>1411</v>
      </c>
      <c r="L465" s="460">
        <v>60005076</v>
      </c>
      <c r="M465" s="461">
        <v>45616</v>
      </c>
      <c r="N465" s="461">
        <v>45672</v>
      </c>
      <c r="O465" s="467" t="s">
        <v>2802</v>
      </c>
      <c r="P465" s="463" t="str">
        <f>IF(LEFT(B465,5)="09735",
    IF(ISNA(VLOOKUP(Tabla13[[#This Row],[Apoyo]],'LM SAP'!A:G,1,FALSE)),
        "No Disponible",
        IF(VLOOKUP(Tabla13[[#This Row],[Apoyo]],'LM SAP'!A:AD,9,FALSE)="RR",
            "Disponible",
            "Firmas SAP"
        )
    ),
    "CONSULTAR"
)</f>
        <v>No Disponible</v>
      </c>
      <c r="Q465" s="460" t="str">
        <f>MID(Tabla13[[#This Row],[Código Indra]],1,13)</f>
        <v>0973524070000</v>
      </c>
      <c r="R465" s="464" t="str">
        <f>IF(ISNA(VLOOKUP(Tabla13[[#This Row],[Código Indra]],#REF!,1,FALSE)),"NO", "SI")</f>
        <v>SI</v>
      </c>
      <c r="S465" s="460" t="str">
        <f>IF(ISNA(VLOOKUP(Tabla13[[#This Row],[Código Indra]],Tabla132[[Código INDRA]:[Nombre]],1,FALSE)),"NO", "SI")</f>
        <v>SI</v>
      </c>
      <c r="T465" s="465"/>
      <c r="U465" s="464" t="s">
        <v>227</v>
      </c>
      <c r="V465" s="464" t="e">
        <f>VLOOKUP(Tabla13[[#This Row],[Apoyo]],'LM SAP'!A:I,9,FALSE)</f>
        <v>#N/A</v>
      </c>
      <c r="W465" s="464" t="s">
        <v>234</v>
      </c>
      <c r="X465" s="466">
        <v>0</v>
      </c>
      <c r="Y465" s="464">
        <f>Tabla13[[#This Row],[ID]]</f>
        <v>454</v>
      </c>
    </row>
    <row r="466" spans="1:25" s="464" customFormat="1" ht="36" x14ac:dyDescent="0.25">
      <c r="A466" s="453">
        <v>455</v>
      </c>
      <c r="B466" s="480" t="s">
        <v>160</v>
      </c>
      <c r="C466" s="455" t="s">
        <v>161</v>
      </c>
      <c r="D466" s="456"/>
      <c r="E466" s="457" t="s">
        <v>2803</v>
      </c>
      <c r="F466" s="458">
        <v>1</v>
      </c>
      <c r="G466" s="459"/>
      <c r="H466" s="460"/>
      <c r="I466" s="460" t="s">
        <v>591</v>
      </c>
      <c r="J466" s="460"/>
      <c r="K466" s="460" t="s">
        <v>1411</v>
      </c>
      <c r="L466" s="460">
        <v>60005074</v>
      </c>
      <c r="M466" s="461">
        <v>45616</v>
      </c>
      <c r="N466" s="461">
        <v>45642</v>
      </c>
      <c r="O466" s="494" t="s">
        <v>2083</v>
      </c>
      <c r="P466" s="463" t="str">
        <f>IF(LEFT(B466,5)="09735",
    IF(ISNA(VLOOKUP(Tabla13[[#This Row],[Apoyo]],'LM SAP'!A:G,1,FALSE)),
        "No Disponible",
        IF(VLOOKUP(Tabla13[[#This Row],[Apoyo]],'LM SAP'!A:AD,9,FALSE)="RR",
            "Disponible",
            "Firmas SAP"
        )
    ),
    "CONSULTAR"
)</f>
        <v>No Disponible</v>
      </c>
      <c r="Q466" s="460" t="str">
        <f>MID(Tabla13[[#This Row],[Código Indra]],1,13)</f>
        <v>0973524070100</v>
      </c>
      <c r="R466" s="464" t="str">
        <f>IF(ISNA(VLOOKUP(Tabla13[[#This Row],[Código Indra]],#REF!,1,FALSE)),"NO", "SI")</f>
        <v>SI</v>
      </c>
      <c r="S466" s="460" t="str">
        <f>IF(ISNA(VLOOKUP(Tabla13[[#This Row],[Código Indra]],Tabla132[[Código INDRA]:[Nombre]],1,FALSE)),"NO", "SI")</f>
        <v>SI</v>
      </c>
      <c r="T466" s="465"/>
      <c r="U466" s="464" t="s">
        <v>227</v>
      </c>
      <c r="V466" s="464" t="e">
        <f>VLOOKUP(Tabla13[[#This Row],[Apoyo]],'LM SAP'!A:I,9,FALSE)</f>
        <v>#N/A</v>
      </c>
      <c r="W466" s="464" t="s">
        <v>234</v>
      </c>
      <c r="X466" s="466">
        <v>0</v>
      </c>
      <c r="Y466" s="464">
        <f>Tabla13[[#This Row],[ID]]</f>
        <v>455</v>
      </c>
    </row>
    <row r="467" spans="1:25" s="464" customFormat="1" x14ac:dyDescent="0.25">
      <c r="A467" s="453">
        <v>456</v>
      </c>
      <c r="B467" s="454" t="s">
        <v>2804</v>
      </c>
      <c r="C467" s="469" t="s">
        <v>2805</v>
      </c>
      <c r="D467" s="456" t="s">
        <v>161</v>
      </c>
      <c r="E467" s="457" t="s">
        <v>2806</v>
      </c>
      <c r="F467" s="458">
        <v>1</v>
      </c>
      <c r="G467" s="543" t="s">
        <v>160</v>
      </c>
      <c r="H467" s="460"/>
      <c r="I467" s="460" t="s">
        <v>591</v>
      </c>
      <c r="J467" s="460"/>
      <c r="K467" s="460" t="s">
        <v>1533</v>
      </c>
      <c r="L467" s="460">
        <v>60005074</v>
      </c>
      <c r="M467" s="461">
        <v>45616</v>
      </c>
      <c r="N467" s="461">
        <v>45642</v>
      </c>
      <c r="O467" s="494" t="s">
        <v>2807</v>
      </c>
      <c r="P467" s="463" t="str">
        <f>IF(LEFT(B467,5)="09735",
    IF(ISNA(VLOOKUP(Tabla13[[#This Row],[Apoyo]],'LM SAP'!A:G,1,FALSE)),
        "No Disponible",
        IF(VLOOKUP(Tabla13[[#This Row],[Apoyo]],'LM SAP'!A:AD,9,FALSE)="RR",
            "Disponible",
            "Firmas SAP"
        )
    ),
    "CONSULTAR"
)</f>
        <v>No Disponible</v>
      </c>
      <c r="Q467" s="460" t="str">
        <f>MID(Tabla13[[#This Row],[Código Indra]],1,13)</f>
        <v>0973544080001</v>
      </c>
      <c r="R467" s="464" t="str">
        <f>IF(ISNA(VLOOKUP(Tabla13[[#This Row],[Código Indra]],#REF!,1,FALSE)),"NO", "SI")</f>
        <v>SI</v>
      </c>
      <c r="S467" s="460" t="str">
        <f>IF(ISNA(VLOOKUP(Tabla13[[#This Row],[Código Indra]],Tabla132[[Código INDRA]:[Nombre]],1,FALSE)),"NO", "SI")</f>
        <v>NO</v>
      </c>
      <c r="T467" s="465" t="s">
        <v>2005</v>
      </c>
      <c r="U467" s="464" t="s">
        <v>256</v>
      </c>
      <c r="V467" s="464" t="e">
        <f>VLOOKUP(Tabla13[[#This Row],[Apoyo]],'LM SAP'!A:I,9,FALSE)</f>
        <v>#N/A</v>
      </c>
      <c r="X467" s="466">
        <v>0</v>
      </c>
      <c r="Y467" s="464">
        <f>Tabla13[[#This Row],[ID]]</f>
        <v>456</v>
      </c>
    </row>
    <row r="468" spans="1:25" s="464" customFormat="1" x14ac:dyDescent="0.25">
      <c r="A468" s="453">
        <v>457</v>
      </c>
      <c r="B468" s="454" t="s">
        <v>2808</v>
      </c>
      <c r="C468" s="469" t="s">
        <v>2809</v>
      </c>
      <c r="D468" s="456" t="s">
        <v>161</v>
      </c>
      <c r="E468" s="457" t="s">
        <v>2810</v>
      </c>
      <c r="F468" s="458">
        <v>1</v>
      </c>
      <c r="G468" s="543" t="s">
        <v>160</v>
      </c>
      <c r="H468" s="460"/>
      <c r="I468" s="460" t="s">
        <v>591</v>
      </c>
      <c r="J468" s="460"/>
      <c r="K468" s="460" t="s">
        <v>1533</v>
      </c>
      <c r="L468" s="460">
        <v>60005074</v>
      </c>
      <c r="M468" s="461">
        <v>45616</v>
      </c>
      <c r="N468" s="461">
        <v>45642</v>
      </c>
      <c r="O468" s="494" t="s">
        <v>2807</v>
      </c>
      <c r="P468" s="463" t="str">
        <f>IF(LEFT(B468,5)="09735",
    IF(ISNA(VLOOKUP(Tabla13[[#This Row],[Apoyo]],'LM SAP'!A:G,1,FALSE)),
        "No Disponible",
        IF(VLOOKUP(Tabla13[[#This Row],[Apoyo]],'LM SAP'!A:AD,9,FALSE)="RR",
            "Disponible",
            "Firmas SAP"
        )
    ),
    "CONSULTAR"
)</f>
        <v>No Disponible</v>
      </c>
      <c r="Q468" s="460" t="str">
        <f>MID(Tabla13[[#This Row],[Código Indra]],1,13)</f>
        <v>0973544080002</v>
      </c>
      <c r="R468" s="464" t="str">
        <f>IF(ISNA(VLOOKUP(Tabla13[[#This Row],[Código Indra]],#REF!,1,FALSE)),"NO", "SI")</f>
        <v>SI</v>
      </c>
      <c r="S468" s="460" t="str">
        <f>IF(ISNA(VLOOKUP(Tabla13[[#This Row],[Código Indra]],Tabla132[[Código INDRA]:[Nombre]],1,FALSE)),"NO", "SI")</f>
        <v>NO</v>
      </c>
      <c r="T468" s="465" t="s">
        <v>2005</v>
      </c>
      <c r="U468" s="464" t="s">
        <v>256</v>
      </c>
      <c r="V468" s="464" t="e">
        <f>VLOOKUP(Tabla13[[#This Row],[Apoyo]],'LM SAP'!A:I,9,FALSE)</f>
        <v>#N/A</v>
      </c>
      <c r="X468" s="466">
        <v>0</v>
      </c>
      <c r="Y468" s="464">
        <f>Tabla13[[#This Row],[ID]]</f>
        <v>457</v>
      </c>
    </row>
    <row r="469" spans="1:25" s="464" customFormat="1" x14ac:dyDescent="0.25">
      <c r="A469" s="453">
        <v>458</v>
      </c>
      <c r="B469" s="454" t="s">
        <v>2811</v>
      </c>
      <c r="C469" s="469" t="s">
        <v>2812</v>
      </c>
      <c r="D469" s="456" t="s">
        <v>161</v>
      </c>
      <c r="E469" s="457" t="s">
        <v>2813</v>
      </c>
      <c r="F469" s="458">
        <v>1</v>
      </c>
      <c r="G469" s="543" t="s">
        <v>160</v>
      </c>
      <c r="H469" s="460"/>
      <c r="I469" s="460" t="s">
        <v>591</v>
      </c>
      <c r="J469" s="460"/>
      <c r="K469" s="460" t="s">
        <v>1533</v>
      </c>
      <c r="L469" s="460">
        <v>60005074</v>
      </c>
      <c r="M469" s="461">
        <v>45616</v>
      </c>
      <c r="N469" s="461">
        <v>45642</v>
      </c>
      <c r="O469" s="494" t="s">
        <v>2807</v>
      </c>
      <c r="P469" s="463" t="str">
        <f>IF(LEFT(B469,5)="09735",
    IF(ISNA(VLOOKUP(Tabla13[[#This Row],[Apoyo]],'LM SAP'!A:G,1,FALSE)),
        "No Disponible",
        IF(VLOOKUP(Tabla13[[#This Row],[Apoyo]],'LM SAP'!A:AD,9,FALSE)="RR",
            "Disponible",
            "Firmas SAP"
        )
    ),
    "CONSULTAR"
)</f>
        <v>No Disponible</v>
      </c>
      <c r="Q469" s="460" t="str">
        <f>MID(Tabla13[[#This Row],[Código Indra]],1,13)</f>
        <v>0973544080003</v>
      </c>
      <c r="R469" s="464" t="str">
        <f>IF(ISNA(VLOOKUP(Tabla13[[#This Row],[Código Indra]],#REF!,1,FALSE)),"NO", "SI")</f>
        <v>SI</v>
      </c>
      <c r="S469" s="460" t="str">
        <f>IF(ISNA(VLOOKUP(Tabla13[[#This Row],[Código Indra]],Tabla132[[Código INDRA]:[Nombre]],1,FALSE)),"NO", "SI")</f>
        <v>NO</v>
      </c>
      <c r="T469" s="465" t="s">
        <v>2005</v>
      </c>
      <c r="U469" s="464" t="s">
        <v>256</v>
      </c>
      <c r="V469" s="464" t="e">
        <f>VLOOKUP(Tabla13[[#This Row],[Apoyo]],'LM SAP'!A:I,9,FALSE)</f>
        <v>#N/A</v>
      </c>
      <c r="X469" s="466">
        <v>0</v>
      </c>
      <c r="Y469" s="464">
        <f>Tabla13[[#This Row],[ID]]</f>
        <v>458</v>
      </c>
    </row>
    <row r="470" spans="1:25" s="464" customFormat="1" x14ac:dyDescent="0.25">
      <c r="A470" s="453">
        <v>459</v>
      </c>
      <c r="B470" s="454" t="s">
        <v>2814</v>
      </c>
      <c r="C470" s="469" t="s">
        <v>2815</v>
      </c>
      <c r="D470" s="456" t="s">
        <v>161</v>
      </c>
      <c r="E470" s="457" t="s">
        <v>2816</v>
      </c>
      <c r="F470" s="458">
        <v>1</v>
      </c>
      <c r="G470" s="543" t="s">
        <v>160</v>
      </c>
      <c r="H470" s="460"/>
      <c r="I470" s="460" t="s">
        <v>591</v>
      </c>
      <c r="J470" s="460"/>
      <c r="K470" s="460" t="s">
        <v>1533</v>
      </c>
      <c r="L470" s="460">
        <v>60005074</v>
      </c>
      <c r="M470" s="461">
        <v>45616</v>
      </c>
      <c r="N470" s="461"/>
      <c r="O470" s="494" t="s">
        <v>2807</v>
      </c>
      <c r="P470" s="463" t="str">
        <f>IF(LEFT(B470,5)="09735",
    IF(ISNA(VLOOKUP(Tabla13[[#This Row],[Apoyo]],'LM SAP'!A:G,1,FALSE)),
        "No Disponible",
        IF(VLOOKUP(Tabla13[[#This Row],[Apoyo]],'LM SAP'!A:AD,9,FALSE)="RR",
            "Disponible",
            "Firmas SAP"
        )
    ),
    "CONSULTAR"
)</f>
        <v>No Disponible</v>
      </c>
      <c r="Q470" s="460" t="str">
        <f>MID(Tabla13[[#This Row],[Código Indra]],1,13)</f>
        <v>0973544080004</v>
      </c>
      <c r="R470" s="464" t="str">
        <f>IF(ISNA(VLOOKUP(Tabla13[[#This Row],[Código Indra]],#REF!,1,FALSE)),"NO", "SI")</f>
        <v>SI</v>
      </c>
      <c r="S470" s="460" t="str">
        <f>IF(ISNA(VLOOKUP(Tabla13[[#This Row],[Código Indra]],Tabla132[[Código INDRA]:[Nombre]],1,FALSE)),"NO", "SI")</f>
        <v>NO</v>
      </c>
      <c r="T470" s="465" t="s">
        <v>2005</v>
      </c>
      <c r="U470" s="464" t="s">
        <v>256</v>
      </c>
      <c r="V470" s="464" t="e">
        <f>VLOOKUP(Tabla13[[#This Row],[Apoyo]],'LM SAP'!A:I,9,FALSE)</f>
        <v>#N/A</v>
      </c>
      <c r="X470" s="466">
        <v>0</v>
      </c>
      <c r="Y470" s="464">
        <f>Tabla13[[#This Row],[ID]]</f>
        <v>459</v>
      </c>
    </row>
    <row r="471" spans="1:25" s="464" customFormat="1" x14ac:dyDescent="0.25">
      <c r="A471" s="453">
        <v>460</v>
      </c>
      <c r="B471" s="454" t="s">
        <v>2817</v>
      </c>
      <c r="C471" s="469" t="s">
        <v>2818</v>
      </c>
      <c r="D471" s="456" t="s">
        <v>161</v>
      </c>
      <c r="E471" s="457" t="s">
        <v>2819</v>
      </c>
      <c r="F471" s="458">
        <v>1</v>
      </c>
      <c r="G471" s="543" t="s">
        <v>160</v>
      </c>
      <c r="H471" s="460"/>
      <c r="I471" s="460" t="s">
        <v>591</v>
      </c>
      <c r="J471" s="460"/>
      <c r="K471" s="460" t="s">
        <v>1533</v>
      </c>
      <c r="L471" s="460">
        <v>60005074</v>
      </c>
      <c r="M471" s="461">
        <v>45616</v>
      </c>
      <c r="N471" s="461">
        <v>45642</v>
      </c>
      <c r="O471" s="494" t="s">
        <v>2807</v>
      </c>
      <c r="P471" s="463" t="str">
        <f>IF(LEFT(B471,5)="09735",
    IF(ISNA(VLOOKUP(Tabla13[[#This Row],[Apoyo]],'LM SAP'!A:G,1,FALSE)),
        "No Disponible",
        IF(VLOOKUP(Tabla13[[#This Row],[Apoyo]],'LM SAP'!A:AD,9,FALSE)="RR",
            "Disponible",
            "Firmas SAP"
        )
    ),
    "CONSULTAR"
)</f>
        <v>No Disponible</v>
      </c>
      <c r="Q471" s="460" t="str">
        <f>MID(Tabla13[[#This Row],[Código Indra]],1,13)</f>
        <v>0973544080005</v>
      </c>
      <c r="R471" s="464" t="str">
        <f>IF(ISNA(VLOOKUP(Tabla13[[#This Row],[Código Indra]],#REF!,1,FALSE)),"NO", "SI")</f>
        <v>SI</v>
      </c>
      <c r="S471" s="460" t="str">
        <f>IF(ISNA(VLOOKUP(Tabla13[[#This Row],[Código Indra]],Tabla132[[Código INDRA]:[Nombre]],1,FALSE)),"NO", "SI")</f>
        <v>NO</v>
      </c>
      <c r="T471" s="465" t="s">
        <v>2005</v>
      </c>
      <c r="U471" s="464" t="s">
        <v>256</v>
      </c>
      <c r="V471" s="464" t="e">
        <f>VLOOKUP(Tabla13[[#This Row],[Apoyo]],'LM SAP'!A:I,9,FALSE)</f>
        <v>#N/A</v>
      </c>
      <c r="X471" s="466">
        <v>0</v>
      </c>
      <c r="Y471" s="464">
        <f>Tabla13[[#This Row],[ID]]</f>
        <v>460</v>
      </c>
    </row>
    <row r="472" spans="1:25" s="464" customFormat="1" x14ac:dyDescent="0.25">
      <c r="A472" s="453">
        <v>461</v>
      </c>
      <c r="B472" s="454" t="s">
        <v>2820</v>
      </c>
      <c r="C472" s="469" t="s">
        <v>2821</v>
      </c>
      <c r="D472" s="456" t="s">
        <v>161</v>
      </c>
      <c r="E472" s="457" t="s">
        <v>2822</v>
      </c>
      <c r="F472" s="458">
        <v>1</v>
      </c>
      <c r="G472" s="543" t="s">
        <v>160</v>
      </c>
      <c r="H472" s="460"/>
      <c r="I472" s="460" t="s">
        <v>591</v>
      </c>
      <c r="J472" s="460"/>
      <c r="K472" s="460" t="s">
        <v>1533</v>
      </c>
      <c r="L472" s="460">
        <v>60005074</v>
      </c>
      <c r="M472" s="461">
        <v>45616</v>
      </c>
      <c r="N472" s="461">
        <v>45642</v>
      </c>
      <c r="O472" s="494" t="s">
        <v>2807</v>
      </c>
      <c r="P472" s="463" t="str">
        <f>IF(LEFT(B472,5)="09735",
    IF(ISNA(VLOOKUP(Tabla13[[#This Row],[Apoyo]],'LM SAP'!A:G,1,FALSE)),
        "No Disponible",
        IF(VLOOKUP(Tabla13[[#This Row],[Apoyo]],'LM SAP'!A:AD,9,FALSE)="RR",
            "Disponible",
            "Firmas SAP"
        )
    ),
    "CONSULTAR"
)</f>
        <v>No Disponible</v>
      </c>
      <c r="Q472" s="460" t="str">
        <f>MID(Tabla13[[#This Row],[Código Indra]],1,13)</f>
        <v>0973544080006</v>
      </c>
      <c r="R472" s="464" t="str">
        <f>IF(ISNA(VLOOKUP(Tabla13[[#This Row],[Código Indra]],#REF!,1,FALSE)),"NO", "SI")</f>
        <v>SI</v>
      </c>
      <c r="S472" s="460" t="str">
        <f>IF(ISNA(VLOOKUP(Tabla13[[#This Row],[Código Indra]],Tabla132[[Código INDRA]:[Nombre]],1,FALSE)),"NO", "SI")</f>
        <v>NO</v>
      </c>
      <c r="T472" s="465" t="s">
        <v>2005</v>
      </c>
      <c r="U472" s="464" t="s">
        <v>256</v>
      </c>
      <c r="V472" s="464" t="e">
        <f>VLOOKUP(Tabla13[[#This Row],[Apoyo]],'LM SAP'!A:I,9,FALSE)</f>
        <v>#N/A</v>
      </c>
      <c r="X472" s="466">
        <v>0</v>
      </c>
      <c r="Y472" s="464">
        <f>Tabla13[[#This Row],[ID]]</f>
        <v>461</v>
      </c>
    </row>
    <row r="473" spans="1:25" s="464" customFormat="1" x14ac:dyDescent="0.25">
      <c r="A473" s="453">
        <v>462</v>
      </c>
      <c r="B473" s="454" t="s">
        <v>2823</v>
      </c>
      <c r="C473" s="469" t="s">
        <v>2824</v>
      </c>
      <c r="D473" s="456" t="s">
        <v>161</v>
      </c>
      <c r="E473" s="457" t="s">
        <v>2825</v>
      </c>
      <c r="F473" s="458">
        <v>1</v>
      </c>
      <c r="G473" s="543" t="s">
        <v>160</v>
      </c>
      <c r="H473" s="460"/>
      <c r="I473" s="460" t="s">
        <v>591</v>
      </c>
      <c r="J473" s="460"/>
      <c r="K473" s="460" t="s">
        <v>1533</v>
      </c>
      <c r="L473" s="460">
        <v>60005074</v>
      </c>
      <c r="M473" s="461">
        <v>45616</v>
      </c>
      <c r="N473" s="461">
        <v>45642</v>
      </c>
      <c r="O473" s="494" t="s">
        <v>2807</v>
      </c>
      <c r="P473" s="463" t="str">
        <f>IF(LEFT(B473,5)="09735",
    IF(ISNA(VLOOKUP(Tabla13[[#This Row],[Apoyo]],'LM SAP'!A:G,1,FALSE)),
        "No Disponible",
        IF(VLOOKUP(Tabla13[[#This Row],[Apoyo]],'LM SAP'!A:AD,9,FALSE)="RR",
            "Disponible",
            "Firmas SAP"
        )
    ),
    "CONSULTAR"
)</f>
        <v>No Disponible</v>
      </c>
      <c r="Q473" s="460" t="str">
        <f>MID(Tabla13[[#This Row],[Código Indra]],1,13)</f>
        <v>0973544080007</v>
      </c>
      <c r="R473" s="464" t="str">
        <f>IF(ISNA(VLOOKUP(Tabla13[[#This Row],[Código Indra]],#REF!,1,FALSE)),"NO", "SI")</f>
        <v>SI</v>
      </c>
      <c r="S473" s="460" t="str">
        <f>IF(ISNA(VLOOKUP(Tabla13[[#This Row],[Código Indra]],Tabla132[[Código INDRA]:[Nombre]],1,FALSE)),"NO", "SI")</f>
        <v>NO</v>
      </c>
      <c r="T473" s="465" t="s">
        <v>2005</v>
      </c>
      <c r="U473" s="464" t="s">
        <v>256</v>
      </c>
      <c r="V473" s="464" t="e">
        <f>VLOOKUP(Tabla13[[#This Row],[Apoyo]],'LM SAP'!A:I,9,FALSE)</f>
        <v>#N/A</v>
      </c>
      <c r="X473" s="466">
        <v>0</v>
      </c>
      <c r="Y473" s="464">
        <f>Tabla13[[#This Row],[ID]]</f>
        <v>462</v>
      </c>
    </row>
    <row r="474" spans="1:25" s="464" customFormat="1" x14ac:dyDescent="0.25">
      <c r="A474" s="453">
        <v>463</v>
      </c>
      <c r="B474" s="454" t="s">
        <v>2826</v>
      </c>
      <c r="C474" s="469" t="s">
        <v>2827</v>
      </c>
      <c r="D474" s="456" t="s">
        <v>161</v>
      </c>
      <c r="E474" s="457" t="s">
        <v>2828</v>
      </c>
      <c r="F474" s="458">
        <v>1</v>
      </c>
      <c r="G474" s="543" t="s">
        <v>160</v>
      </c>
      <c r="H474" s="460"/>
      <c r="I474" s="460" t="s">
        <v>591</v>
      </c>
      <c r="J474" s="460"/>
      <c r="K474" s="460" t="s">
        <v>1533</v>
      </c>
      <c r="L474" s="460">
        <v>60005074</v>
      </c>
      <c r="M474" s="461">
        <v>45616</v>
      </c>
      <c r="N474" s="461">
        <v>45642</v>
      </c>
      <c r="O474" s="494" t="s">
        <v>2807</v>
      </c>
      <c r="P474" s="463" t="str">
        <f>IF(LEFT(B474,5)="09735",
    IF(ISNA(VLOOKUP(Tabla13[[#This Row],[Apoyo]],'LM SAP'!A:G,1,FALSE)),
        "No Disponible",
        IF(VLOOKUP(Tabla13[[#This Row],[Apoyo]],'LM SAP'!A:AD,9,FALSE)="RR",
            "Disponible",
            "Firmas SAP"
        )
    ),
    "CONSULTAR"
)</f>
        <v>No Disponible</v>
      </c>
      <c r="Q474" s="460" t="str">
        <f>MID(Tabla13[[#This Row],[Código Indra]],1,13)</f>
        <v>0973544080008</v>
      </c>
      <c r="R474" s="464" t="str">
        <f>IF(ISNA(VLOOKUP(Tabla13[[#This Row],[Código Indra]],#REF!,1,FALSE)),"NO", "SI")</f>
        <v>SI</v>
      </c>
      <c r="S474" s="460" t="str">
        <f>IF(ISNA(VLOOKUP(Tabla13[[#This Row],[Código Indra]],Tabla132[[Código INDRA]:[Nombre]],1,FALSE)),"NO", "SI")</f>
        <v>NO</v>
      </c>
      <c r="T474" s="465" t="s">
        <v>2005</v>
      </c>
      <c r="U474" s="464" t="s">
        <v>256</v>
      </c>
      <c r="V474" s="464" t="e">
        <f>VLOOKUP(Tabla13[[#This Row],[Apoyo]],'LM SAP'!A:I,9,FALSE)</f>
        <v>#N/A</v>
      </c>
      <c r="X474" s="466">
        <v>0</v>
      </c>
      <c r="Y474" s="464">
        <f>Tabla13[[#This Row],[ID]]</f>
        <v>463</v>
      </c>
    </row>
    <row r="475" spans="1:25" s="464" customFormat="1" ht="108" x14ac:dyDescent="0.25">
      <c r="A475" s="453">
        <v>464</v>
      </c>
      <c r="B475" s="480" t="s">
        <v>91</v>
      </c>
      <c r="C475" s="455" t="s">
        <v>92</v>
      </c>
      <c r="D475" s="456"/>
      <c r="E475" s="457" t="s">
        <v>2829</v>
      </c>
      <c r="F475" s="458">
        <v>1</v>
      </c>
      <c r="G475" s="459" t="s">
        <v>260</v>
      </c>
      <c r="H475" s="460"/>
      <c r="I475" s="460" t="s">
        <v>591</v>
      </c>
      <c r="J475" s="460"/>
      <c r="K475" s="460" t="s">
        <v>220</v>
      </c>
      <c r="L475" s="460">
        <v>60005374</v>
      </c>
      <c r="M475" s="461">
        <v>45616</v>
      </c>
      <c r="N475" s="461"/>
      <c r="O475" s="555" t="s">
        <v>2830</v>
      </c>
      <c r="P475" s="463" t="str">
        <f>IF(LEFT(B475,5)="09735",
    IF(ISNA(VLOOKUP(Tabla13[[#This Row],[Apoyo]],'LM SAP'!A:G,1,FALSE)),
        "No Disponible",
        IF(VLOOKUP(Tabla13[[#This Row],[Apoyo]],'LM SAP'!A:AD,9,FALSE)="RR",
            "Disponible",
            "Firmas SAP"
        )
    ),
    "CONSULTAR"
)</f>
        <v>No Disponible</v>
      </c>
      <c r="Q475" s="460" t="str">
        <f>MID(Tabla13[[#This Row],[Código Indra]],1,13)</f>
        <v>0973524070200</v>
      </c>
      <c r="R475" s="464" t="str">
        <f>IF(ISNA(VLOOKUP(Tabla13[[#This Row],[Código Indra]],#REF!,1,FALSE)),"NO", "SI")</f>
        <v>SI</v>
      </c>
      <c r="S475" s="460" t="str">
        <f>IF(ISNA(VLOOKUP(Tabla13[[#This Row],[Código Indra]],Tabla132[[Código INDRA]:[Nombre]],1,FALSE)),"NO", "SI")</f>
        <v>SI</v>
      </c>
      <c r="T475" s="465"/>
      <c r="U475" s="464" t="s">
        <v>227</v>
      </c>
      <c r="V475" s="464" t="e">
        <f>VLOOKUP(Tabla13[[#This Row],[Apoyo]],'LM SAP'!A:I,9,FALSE)</f>
        <v>#N/A</v>
      </c>
      <c r="W475" s="464" t="s">
        <v>234</v>
      </c>
      <c r="X475" s="466"/>
      <c r="Y475" s="464">
        <f>Tabla13[[#This Row],[ID]]</f>
        <v>464</v>
      </c>
    </row>
    <row r="476" spans="1:25" s="464" customFormat="1" x14ac:dyDescent="0.25">
      <c r="A476" s="453">
        <v>465</v>
      </c>
      <c r="B476" s="454" t="s">
        <v>2831</v>
      </c>
      <c r="C476" s="469" t="s">
        <v>2832</v>
      </c>
      <c r="D476" s="456" t="s">
        <v>92</v>
      </c>
      <c r="E476" s="457" t="s">
        <v>2833</v>
      </c>
      <c r="F476" s="458">
        <v>1</v>
      </c>
      <c r="G476" s="543" t="s">
        <v>91</v>
      </c>
      <c r="H476" s="460"/>
      <c r="I476" s="460" t="s">
        <v>591</v>
      </c>
      <c r="J476" s="460"/>
      <c r="K476" s="460" t="s">
        <v>1533</v>
      </c>
      <c r="L476" s="460">
        <v>60005374</v>
      </c>
      <c r="M476" s="461"/>
      <c r="N476" s="461"/>
      <c r="O476" s="516" t="s">
        <v>2211</v>
      </c>
      <c r="P476" s="463" t="str">
        <f>IF(LEFT(B476,5)="09735",
    IF(ISNA(VLOOKUP(Tabla13[[#This Row],[Apoyo]],'LM SAP'!A:G,1,FALSE)),
        "No Disponible",
        IF(VLOOKUP(Tabla13[[#This Row],[Apoyo]],'LM SAP'!A:AD,9,FALSE)="RR",
            "Disponible",
            "Firmas SAP"
        )
    ),
    "CONSULTAR"
)</f>
        <v>No Disponible</v>
      </c>
      <c r="Q476" s="460" t="str">
        <f>MID(Tabla13[[#This Row],[Código Indra]],1,13)</f>
        <v>0973545081001</v>
      </c>
      <c r="R476" s="464" t="str">
        <f>IF(ISNA(VLOOKUP(Tabla13[[#This Row],[Código Indra]],#REF!,1,FALSE)),"NO", "SI")</f>
        <v>SI</v>
      </c>
      <c r="S476" s="460" t="str">
        <f>IF(ISNA(VLOOKUP(Tabla13[[#This Row],[Código Indra]],Tabla132[[Código INDRA]:[Nombre]],1,FALSE)),"NO", "SI")</f>
        <v>NO</v>
      </c>
      <c r="T476" s="465" t="s">
        <v>2005</v>
      </c>
      <c r="U476" s="464" t="s">
        <v>256</v>
      </c>
      <c r="V476" s="464" t="e">
        <f>VLOOKUP(Tabla13[[#This Row],[Apoyo]],'LM SAP'!A:I,9,FALSE)</f>
        <v>#N/A</v>
      </c>
      <c r="X476" s="466">
        <v>0</v>
      </c>
      <c r="Y476" s="464">
        <f>Tabla13[[#This Row],[ID]]</f>
        <v>465</v>
      </c>
    </row>
    <row r="477" spans="1:25" s="464" customFormat="1" x14ac:dyDescent="0.25">
      <c r="A477" s="453">
        <v>466</v>
      </c>
      <c r="B477" s="454" t="s">
        <v>2834</v>
      </c>
      <c r="C477" s="469" t="s">
        <v>2835</v>
      </c>
      <c r="D477" s="456" t="s">
        <v>92</v>
      </c>
      <c r="E477" s="457" t="s">
        <v>2836</v>
      </c>
      <c r="F477" s="458">
        <v>1</v>
      </c>
      <c r="G477" s="543" t="s">
        <v>91</v>
      </c>
      <c r="H477" s="460"/>
      <c r="I477" s="460" t="s">
        <v>591</v>
      </c>
      <c r="J477" s="460"/>
      <c r="K477" s="460" t="s">
        <v>1533</v>
      </c>
      <c r="L477" s="460">
        <v>60005374</v>
      </c>
      <c r="M477" s="461"/>
      <c r="N477" s="461"/>
      <c r="O477" s="516" t="s">
        <v>2211</v>
      </c>
      <c r="P477" s="463" t="str">
        <f>IF(LEFT(B477,5)="09735",
    IF(ISNA(VLOOKUP(Tabla13[[#This Row],[Apoyo]],'LM SAP'!A:G,1,FALSE)),
        "No Disponible",
        IF(VLOOKUP(Tabla13[[#This Row],[Apoyo]],'LM SAP'!A:AD,9,FALSE)="RR",
            "Disponible",
            "Firmas SAP"
        )
    ),
    "CONSULTAR"
)</f>
        <v>No Disponible</v>
      </c>
      <c r="Q477" s="460" t="str">
        <f>MID(Tabla13[[#This Row],[Código Indra]],1,13)</f>
        <v>0973545081002</v>
      </c>
      <c r="R477" s="464" t="str">
        <f>IF(ISNA(VLOOKUP(Tabla13[[#This Row],[Código Indra]],#REF!,1,FALSE)),"NO", "SI")</f>
        <v>SI</v>
      </c>
      <c r="S477" s="460" t="str">
        <f>IF(ISNA(VLOOKUP(Tabla13[[#This Row],[Código Indra]],Tabla132[[Código INDRA]:[Nombre]],1,FALSE)),"NO", "SI")</f>
        <v>NO</v>
      </c>
      <c r="T477" s="465" t="s">
        <v>2005</v>
      </c>
      <c r="U477" s="464" t="s">
        <v>256</v>
      </c>
      <c r="V477" s="464" t="e">
        <f>VLOOKUP(Tabla13[[#This Row],[Apoyo]],'LM SAP'!A:I,9,FALSE)</f>
        <v>#N/A</v>
      </c>
      <c r="X477" s="466">
        <v>0</v>
      </c>
      <c r="Y477" s="464">
        <f>Tabla13[[#This Row],[ID]]</f>
        <v>466</v>
      </c>
    </row>
    <row r="478" spans="1:25" s="464" customFormat="1" x14ac:dyDescent="0.25">
      <c r="A478" s="453">
        <v>467</v>
      </c>
      <c r="B478" s="454" t="s">
        <v>2837</v>
      </c>
      <c r="C478" s="469" t="s">
        <v>2838</v>
      </c>
      <c r="D478" s="456" t="s">
        <v>92</v>
      </c>
      <c r="E478" s="457" t="s">
        <v>2839</v>
      </c>
      <c r="F478" s="458">
        <v>1</v>
      </c>
      <c r="G478" s="543" t="s">
        <v>91</v>
      </c>
      <c r="H478" s="460"/>
      <c r="I478" s="460" t="s">
        <v>591</v>
      </c>
      <c r="J478" s="460"/>
      <c r="K478" s="460" t="s">
        <v>1533</v>
      </c>
      <c r="L478" s="460">
        <v>60005374</v>
      </c>
      <c r="M478" s="461"/>
      <c r="N478" s="461"/>
      <c r="O478" s="516" t="s">
        <v>2211</v>
      </c>
      <c r="P478" s="463" t="str">
        <f>IF(LEFT(B478,5)="09735",
    IF(ISNA(VLOOKUP(Tabla13[[#This Row],[Apoyo]],'LM SAP'!A:G,1,FALSE)),
        "No Disponible",
        IF(VLOOKUP(Tabla13[[#This Row],[Apoyo]],'LM SAP'!A:AD,9,FALSE)="RR",
            "Disponible",
            "Firmas SAP"
        )
    ),
    "CONSULTAR"
)</f>
        <v>No Disponible</v>
      </c>
      <c r="Q478" s="460" t="str">
        <f>MID(Tabla13[[#This Row],[Código Indra]],1,13)</f>
        <v>0973545081003</v>
      </c>
      <c r="R478" s="464" t="str">
        <f>IF(ISNA(VLOOKUP(Tabla13[[#This Row],[Código Indra]],#REF!,1,FALSE)),"NO", "SI")</f>
        <v>SI</v>
      </c>
      <c r="S478" s="460" t="str">
        <f>IF(ISNA(VLOOKUP(Tabla13[[#This Row],[Código Indra]],Tabla132[[Código INDRA]:[Nombre]],1,FALSE)),"NO", "SI")</f>
        <v>NO</v>
      </c>
      <c r="T478" s="465" t="s">
        <v>2005</v>
      </c>
      <c r="U478" s="464" t="s">
        <v>256</v>
      </c>
      <c r="V478" s="464" t="e">
        <f>VLOOKUP(Tabla13[[#This Row],[Apoyo]],'LM SAP'!A:I,9,FALSE)</f>
        <v>#N/A</v>
      </c>
      <c r="X478" s="466">
        <v>0</v>
      </c>
      <c r="Y478" s="464">
        <f>Tabla13[[#This Row],[ID]]</f>
        <v>467</v>
      </c>
    </row>
    <row r="479" spans="1:25" s="464" customFormat="1" x14ac:dyDescent="0.25">
      <c r="A479" s="453">
        <v>468</v>
      </c>
      <c r="B479" s="454" t="s">
        <v>2840</v>
      </c>
      <c r="C479" s="469" t="s">
        <v>2841</v>
      </c>
      <c r="D479" s="456" t="s">
        <v>92</v>
      </c>
      <c r="E479" s="457" t="s">
        <v>2842</v>
      </c>
      <c r="F479" s="458">
        <v>1</v>
      </c>
      <c r="G479" s="543" t="s">
        <v>91</v>
      </c>
      <c r="H479" s="460"/>
      <c r="I479" s="460" t="s">
        <v>591</v>
      </c>
      <c r="J479" s="460"/>
      <c r="K479" s="460" t="s">
        <v>1533</v>
      </c>
      <c r="L479" s="460">
        <v>60005374</v>
      </c>
      <c r="M479" s="461"/>
      <c r="N479" s="461"/>
      <c r="O479" s="516" t="s">
        <v>2211</v>
      </c>
      <c r="P479" s="463" t="str">
        <f>IF(LEFT(B479,5)="09735",
    IF(ISNA(VLOOKUP(Tabla13[[#This Row],[Apoyo]],'LM SAP'!A:G,1,FALSE)),
        "No Disponible",
        IF(VLOOKUP(Tabla13[[#This Row],[Apoyo]],'LM SAP'!A:AD,9,FALSE)="RR",
            "Disponible",
            "Firmas SAP"
        )
    ),
    "CONSULTAR"
)</f>
        <v>No Disponible</v>
      </c>
      <c r="Q479" s="460" t="str">
        <f>MID(Tabla13[[#This Row],[Código Indra]],1,13)</f>
        <v>0973545081004</v>
      </c>
      <c r="R479" s="464" t="str">
        <f>IF(ISNA(VLOOKUP(Tabla13[[#This Row],[Código Indra]],#REF!,1,FALSE)),"NO", "SI")</f>
        <v>SI</v>
      </c>
      <c r="S479" s="460" t="str">
        <f>IF(ISNA(VLOOKUP(Tabla13[[#This Row],[Código Indra]],Tabla132[[Código INDRA]:[Nombre]],1,FALSE)),"NO", "SI")</f>
        <v>NO</v>
      </c>
      <c r="T479" s="465" t="s">
        <v>2005</v>
      </c>
      <c r="U479" s="464" t="s">
        <v>256</v>
      </c>
      <c r="V479" s="464" t="e">
        <f>VLOOKUP(Tabla13[[#This Row],[Apoyo]],'LM SAP'!A:I,9,FALSE)</f>
        <v>#N/A</v>
      </c>
      <c r="X479" s="466">
        <v>0</v>
      </c>
      <c r="Y479" s="464">
        <f>Tabla13[[#This Row],[ID]]</f>
        <v>468</v>
      </c>
    </row>
    <row r="480" spans="1:25" s="464" customFormat="1" x14ac:dyDescent="0.25">
      <c r="A480" s="453">
        <v>469</v>
      </c>
      <c r="B480" s="454" t="s">
        <v>2843</v>
      </c>
      <c r="C480" s="469" t="s">
        <v>2844</v>
      </c>
      <c r="D480" s="456" t="s">
        <v>92</v>
      </c>
      <c r="E480" s="457" t="s">
        <v>2845</v>
      </c>
      <c r="F480" s="458">
        <v>1</v>
      </c>
      <c r="G480" s="543" t="s">
        <v>91</v>
      </c>
      <c r="H480" s="460"/>
      <c r="I480" s="460" t="s">
        <v>591</v>
      </c>
      <c r="J480" s="460"/>
      <c r="K480" s="460" t="s">
        <v>1533</v>
      </c>
      <c r="L480" s="460">
        <v>60005374</v>
      </c>
      <c r="M480" s="461"/>
      <c r="N480" s="461"/>
      <c r="O480" s="516" t="s">
        <v>2211</v>
      </c>
      <c r="P480" s="463" t="str">
        <f>IF(LEFT(B480,5)="09735",
    IF(ISNA(VLOOKUP(Tabla13[[#This Row],[Apoyo]],'LM SAP'!A:G,1,FALSE)),
        "No Disponible",
        IF(VLOOKUP(Tabla13[[#This Row],[Apoyo]],'LM SAP'!A:AD,9,FALSE)="RR",
            "Disponible",
            "Firmas SAP"
        )
    ),
    "CONSULTAR"
)</f>
        <v>No Disponible</v>
      </c>
      <c r="Q480" s="460" t="str">
        <f>MID(Tabla13[[#This Row],[Código Indra]],1,13)</f>
        <v>0973545081005</v>
      </c>
      <c r="R480" s="464" t="str">
        <f>IF(ISNA(VLOOKUP(Tabla13[[#This Row],[Código Indra]],#REF!,1,FALSE)),"NO", "SI")</f>
        <v>SI</v>
      </c>
      <c r="S480" s="460" t="str">
        <f>IF(ISNA(VLOOKUP(Tabla13[[#This Row],[Código Indra]],Tabla132[[Código INDRA]:[Nombre]],1,FALSE)),"NO", "SI")</f>
        <v>NO</v>
      </c>
      <c r="T480" s="465" t="s">
        <v>2005</v>
      </c>
      <c r="U480" s="464" t="s">
        <v>256</v>
      </c>
      <c r="V480" s="464" t="e">
        <f>VLOOKUP(Tabla13[[#This Row],[Apoyo]],'LM SAP'!A:I,9,FALSE)</f>
        <v>#N/A</v>
      </c>
      <c r="X480" s="466">
        <v>0</v>
      </c>
      <c r="Y480" s="464">
        <f>Tabla13[[#This Row],[ID]]</f>
        <v>469</v>
      </c>
    </row>
    <row r="481" spans="1:25" s="464" customFormat="1" x14ac:dyDescent="0.25">
      <c r="A481" s="453">
        <v>470</v>
      </c>
      <c r="B481" s="454" t="s">
        <v>2846</v>
      </c>
      <c r="C481" s="469" t="s">
        <v>2847</v>
      </c>
      <c r="D481" s="456" t="s">
        <v>92</v>
      </c>
      <c r="E481" s="457" t="s">
        <v>2848</v>
      </c>
      <c r="F481" s="458">
        <v>1</v>
      </c>
      <c r="G481" s="543" t="s">
        <v>91</v>
      </c>
      <c r="H481" s="460"/>
      <c r="I481" s="460" t="s">
        <v>591</v>
      </c>
      <c r="J481" s="460"/>
      <c r="K481" s="460" t="s">
        <v>1533</v>
      </c>
      <c r="L481" s="460">
        <v>60005374</v>
      </c>
      <c r="M481" s="461"/>
      <c r="N481" s="461"/>
      <c r="O481" s="516" t="s">
        <v>2211</v>
      </c>
      <c r="P481" s="463" t="str">
        <f>IF(LEFT(B481,5)="09735",
    IF(ISNA(VLOOKUP(Tabla13[[#This Row],[Apoyo]],'LM SAP'!A:G,1,FALSE)),
        "No Disponible",
        IF(VLOOKUP(Tabla13[[#This Row],[Apoyo]],'LM SAP'!A:AD,9,FALSE)="RR",
            "Disponible",
            "Firmas SAP"
        )
    ),
    "CONSULTAR"
)</f>
        <v>No Disponible</v>
      </c>
      <c r="Q481" s="460" t="str">
        <f>MID(Tabla13[[#This Row],[Código Indra]],1,13)</f>
        <v>0973545081006</v>
      </c>
      <c r="R481" s="464" t="str">
        <f>IF(ISNA(VLOOKUP(Tabla13[[#This Row],[Código Indra]],#REF!,1,FALSE)),"NO", "SI")</f>
        <v>SI</v>
      </c>
      <c r="S481" s="460" t="str">
        <f>IF(ISNA(VLOOKUP(Tabla13[[#This Row],[Código Indra]],Tabla132[[Código INDRA]:[Nombre]],1,FALSE)),"NO", "SI")</f>
        <v>NO</v>
      </c>
      <c r="T481" s="465" t="s">
        <v>2005</v>
      </c>
      <c r="U481" s="464" t="s">
        <v>256</v>
      </c>
      <c r="V481" s="464" t="e">
        <f>VLOOKUP(Tabla13[[#This Row],[Apoyo]],'LM SAP'!A:I,9,FALSE)</f>
        <v>#N/A</v>
      </c>
      <c r="X481" s="466">
        <v>0</v>
      </c>
      <c r="Y481" s="464">
        <f>Tabla13[[#This Row],[ID]]</f>
        <v>470</v>
      </c>
    </row>
    <row r="482" spans="1:25" s="464" customFormat="1" x14ac:dyDescent="0.25">
      <c r="A482" s="453">
        <v>471</v>
      </c>
      <c r="B482" s="454" t="s">
        <v>2849</v>
      </c>
      <c r="C482" s="469" t="s">
        <v>2850</v>
      </c>
      <c r="D482" s="456" t="s">
        <v>92</v>
      </c>
      <c r="E482" s="457" t="s">
        <v>2851</v>
      </c>
      <c r="F482" s="458">
        <v>1</v>
      </c>
      <c r="G482" s="543" t="s">
        <v>91</v>
      </c>
      <c r="H482" s="460"/>
      <c r="I482" s="460" t="s">
        <v>591</v>
      </c>
      <c r="J482" s="460"/>
      <c r="K482" s="460" t="s">
        <v>1532</v>
      </c>
      <c r="L482" s="460">
        <v>60005374</v>
      </c>
      <c r="M482" s="461"/>
      <c r="N482" s="461"/>
      <c r="O482" s="516" t="s">
        <v>2211</v>
      </c>
      <c r="P482" s="463" t="str">
        <f>IF(LEFT(B482,5)="09735",
    IF(ISNA(VLOOKUP(Tabla13[[#This Row],[Apoyo]],'LM SAP'!A:G,1,FALSE)),
        "No Disponible",
        IF(VLOOKUP(Tabla13[[#This Row],[Apoyo]],'LM SAP'!A:AD,9,FALSE)="RR",
            "Disponible",
            "Firmas SAP"
        )
    ),
    "CONSULTAR"
)</f>
        <v>No Disponible</v>
      </c>
      <c r="Q482" s="460" t="str">
        <f>MID(Tabla13[[#This Row],[Código Indra]],1,13)</f>
        <v>0973545081007</v>
      </c>
      <c r="R482" s="464" t="str">
        <f>IF(ISNA(VLOOKUP(Tabla13[[#This Row],[Código Indra]],#REF!,1,FALSE)),"NO", "SI")</f>
        <v>SI</v>
      </c>
      <c r="S482" s="460" t="str">
        <f>IF(ISNA(VLOOKUP(Tabla13[[#This Row],[Código Indra]],Tabla132[[Código INDRA]:[Nombre]],1,FALSE)),"NO", "SI")</f>
        <v>NO</v>
      </c>
      <c r="T482" s="465" t="s">
        <v>2005</v>
      </c>
      <c r="U482" s="464" t="s">
        <v>256</v>
      </c>
      <c r="V482" s="464" t="e">
        <f>VLOOKUP(Tabla13[[#This Row],[Apoyo]],'LM SAP'!A:I,9,FALSE)</f>
        <v>#N/A</v>
      </c>
      <c r="X482" s="466">
        <v>0</v>
      </c>
      <c r="Y482" s="464">
        <f>Tabla13[[#This Row],[ID]]</f>
        <v>471</v>
      </c>
    </row>
    <row r="483" spans="1:25" s="464" customFormat="1" x14ac:dyDescent="0.25">
      <c r="A483" s="453">
        <v>472</v>
      </c>
      <c r="B483" s="454" t="s">
        <v>2852</v>
      </c>
      <c r="C483" s="469" t="s">
        <v>2853</v>
      </c>
      <c r="D483" s="456" t="s">
        <v>92</v>
      </c>
      <c r="E483" s="457" t="s">
        <v>2854</v>
      </c>
      <c r="F483" s="458">
        <v>1</v>
      </c>
      <c r="G483" s="543" t="s">
        <v>91</v>
      </c>
      <c r="H483" s="460"/>
      <c r="I483" s="460" t="s">
        <v>591</v>
      </c>
      <c r="J483" s="460"/>
      <c r="K483" s="460" t="s">
        <v>1533</v>
      </c>
      <c r="L483" s="460">
        <v>60005374</v>
      </c>
      <c r="M483" s="461"/>
      <c r="N483" s="461"/>
      <c r="O483" s="516" t="s">
        <v>2211</v>
      </c>
      <c r="P483" s="463" t="str">
        <f>IF(LEFT(B483,5)="09735",
    IF(ISNA(VLOOKUP(Tabla13[[#This Row],[Apoyo]],'LM SAP'!A:G,1,FALSE)),
        "No Disponible",
        IF(VLOOKUP(Tabla13[[#This Row],[Apoyo]],'LM SAP'!A:AD,9,FALSE)="RR",
            "Disponible",
            "Firmas SAP"
        )
    ),
    "CONSULTAR"
)</f>
        <v>No Disponible</v>
      </c>
      <c r="Q483" s="460" t="str">
        <f>MID(Tabla13[[#This Row],[Código Indra]],1,13)</f>
        <v>0973545081008</v>
      </c>
      <c r="R483" s="464" t="str">
        <f>IF(ISNA(VLOOKUP(Tabla13[[#This Row],[Código Indra]],#REF!,1,FALSE)),"NO", "SI")</f>
        <v>SI</v>
      </c>
      <c r="S483" s="460" t="str">
        <f>IF(ISNA(VLOOKUP(Tabla13[[#This Row],[Código Indra]],Tabla132[[Código INDRA]:[Nombre]],1,FALSE)),"NO", "SI")</f>
        <v>NO</v>
      </c>
      <c r="T483" s="465" t="s">
        <v>2005</v>
      </c>
      <c r="U483" s="464" t="s">
        <v>256</v>
      </c>
      <c r="V483" s="464" t="e">
        <f>VLOOKUP(Tabla13[[#This Row],[Apoyo]],'LM SAP'!A:I,9,FALSE)</f>
        <v>#N/A</v>
      </c>
      <c r="X483" s="466">
        <v>0</v>
      </c>
      <c r="Y483" s="464">
        <f>Tabla13[[#This Row],[ID]]</f>
        <v>472</v>
      </c>
    </row>
    <row r="484" spans="1:25" s="464" customFormat="1" ht="36" x14ac:dyDescent="0.25">
      <c r="A484" s="453">
        <v>473</v>
      </c>
      <c r="B484" s="480" t="s">
        <v>93</v>
      </c>
      <c r="C484" s="455" t="s">
        <v>94</v>
      </c>
      <c r="D484" s="456"/>
      <c r="E484" s="457" t="s">
        <v>2855</v>
      </c>
      <c r="F484" s="458">
        <v>1</v>
      </c>
      <c r="G484" s="459"/>
      <c r="H484" s="460"/>
      <c r="I484" s="460" t="s">
        <v>591</v>
      </c>
      <c r="J484" s="460"/>
      <c r="K484" s="460" t="s">
        <v>1411</v>
      </c>
      <c r="L484" s="460">
        <v>60005075</v>
      </c>
      <c r="M484" s="461">
        <v>45616</v>
      </c>
      <c r="N484" s="461">
        <v>45694</v>
      </c>
      <c r="O484" s="467" t="s">
        <v>2856</v>
      </c>
      <c r="P484" s="463" t="str">
        <f>IF(LEFT(B484,5)="09735",
    IF(ISNA(VLOOKUP(Tabla13[[#This Row],[Apoyo]],'LM SAP'!A:G,1,FALSE)),
        "No Disponible",
        IF(VLOOKUP(Tabla13[[#This Row],[Apoyo]],'LM SAP'!A:AD,9,FALSE)="RR",
            "Disponible",
            "Firmas SAP"
        )
    ),
    "CONSULTAR"
)</f>
        <v>No Disponible</v>
      </c>
      <c r="Q484" s="460" t="str">
        <f>MID(Tabla13[[#This Row],[Código Indra]],1,13)</f>
        <v>0973524070300</v>
      </c>
      <c r="R484" s="464" t="str">
        <f>IF(ISNA(VLOOKUP(Tabla13[[#This Row],[Código Indra]],#REF!,1,FALSE)),"NO", "SI")</f>
        <v>SI</v>
      </c>
      <c r="S484" s="460" t="str">
        <f>IF(ISNA(VLOOKUP(Tabla13[[#This Row],[Código Indra]],Tabla132[[Código INDRA]:[Nombre]],1,FALSE)),"NO", "SI")</f>
        <v>SI</v>
      </c>
      <c r="T484" s="465"/>
      <c r="U484" s="464" t="s">
        <v>227</v>
      </c>
      <c r="V484" s="464" t="e">
        <f>VLOOKUP(Tabla13[[#This Row],[Apoyo]],'LM SAP'!A:I,9,FALSE)</f>
        <v>#N/A</v>
      </c>
      <c r="W484" s="464" t="s">
        <v>234</v>
      </c>
      <c r="X484" s="466">
        <v>0</v>
      </c>
      <c r="Y484" s="464">
        <f>Tabla13[[#This Row],[ID]]</f>
        <v>473</v>
      </c>
    </row>
    <row r="485" spans="1:25" s="464" customFormat="1" ht="36" x14ac:dyDescent="0.25">
      <c r="A485" s="453">
        <v>474</v>
      </c>
      <c r="B485" s="480" t="s">
        <v>860</v>
      </c>
      <c r="C485" s="469" t="s">
        <v>2857</v>
      </c>
      <c r="D485" s="456" t="s">
        <v>862</v>
      </c>
      <c r="E485" s="457" t="s">
        <v>2858</v>
      </c>
      <c r="F485" s="458">
        <v>1</v>
      </c>
      <c r="G485" s="459"/>
      <c r="H485" s="460"/>
      <c r="I485" s="460" t="s">
        <v>591</v>
      </c>
      <c r="J485" s="460"/>
      <c r="K485" s="460" t="s">
        <v>1411</v>
      </c>
      <c r="L485" s="460">
        <v>60004994</v>
      </c>
      <c r="M485" s="461">
        <v>45615</v>
      </c>
      <c r="N485" s="461">
        <v>45622</v>
      </c>
      <c r="O485" s="470" t="s">
        <v>2859</v>
      </c>
      <c r="P485" s="463" t="str">
        <f>IF(LEFT(B485,5)="09735",
    IF(ISNA(VLOOKUP(Tabla13[[#This Row],[Apoyo]],'LM SAP'!A:G,1,FALSE)),
        "No Disponible",
        IF(VLOOKUP(Tabla13[[#This Row],[Apoyo]],'LM SAP'!A:AD,9,FALSE)="RR",
            "Disponible",
            "Firmas SAP"
        )
    ),
    "CONSULTAR"
)</f>
        <v>No Disponible</v>
      </c>
      <c r="Q485" s="460" t="str">
        <f>MID(Tabla13[[#This Row],[Código Indra]],1,13)</f>
        <v>0973545082001</v>
      </c>
      <c r="R485" s="464" t="str">
        <f>IF(ISNA(VLOOKUP(Tabla13[[#This Row],[Código Indra]],#REF!,1,FALSE)),"NO", "SI")</f>
        <v>SI</v>
      </c>
      <c r="S485" s="460" t="str">
        <f>IF(ISNA(VLOOKUP(Tabla13[[#This Row],[Código Indra]],Tabla132[[Código INDRA]:[Nombre]],1,FALSE)),"NO", "SI")</f>
        <v>NO</v>
      </c>
      <c r="T485" s="465" t="s">
        <v>2005</v>
      </c>
      <c r="U485" s="464" t="s">
        <v>256</v>
      </c>
      <c r="V485" s="464" t="e">
        <f>VLOOKUP(Tabla13[[#This Row],[Apoyo]],'LM SAP'!A:I,9,FALSE)</f>
        <v>#N/A</v>
      </c>
      <c r="W485" s="464" t="s">
        <v>234</v>
      </c>
      <c r="X485" s="466">
        <v>0</v>
      </c>
      <c r="Y485" s="464">
        <f>Tabla13[[#This Row],[ID]]</f>
        <v>474</v>
      </c>
    </row>
    <row r="486" spans="1:25" s="464" customFormat="1" ht="24" x14ac:dyDescent="0.25">
      <c r="A486" s="453">
        <v>475</v>
      </c>
      <c r="B486" s="556" t="s">
        <v>865</v>
      </c>
      <c r="C486" s="469" t="s">
        <v>2860</v>
      </c>
      <c r="D486" s="456" t="s">
        <v>862</v>
      </c>
      <c r="E486" s="457" t="s">
        <v>2861</v>
      </c>
      <c r="F486" s="458">
        <v>1</v>
      </c>
      <c r="G486" s="459"/>
      <c r="H486" s="460"/>
      <c r="I486" s="460" t="s">
        <v>591</v>
      </c>
      <c r="J486" s="460"/>
      <c r="K486" s="460" t="s">
        <v>1411</v>
      </c>
      <c r="L486" s="460">
        <v>60004995</v>
      </c>
      <c r="M486" s="461">
        <v>45615</v>
      </c>
      <c r="N486" s="461">
        <v>45629</v>
      </c>
      <c r="O486" s="470" t="s">
        <v>2862</v>
      </c>
      <c r="P486" s="463" t="str">
        <f>IF(LEFT(B486,5)="09735",
    IF(ISNA(VLOOKUP(Tabla13[[#This Row],[Apoyo]],'LM SAP'!A:G,1,FALSE)),
        "No Disponible",
        IF(VLOOKUP(Tabla13[[#This Row],[Apoyo]],'LM SAP'!A:AD,9,FALSE)="RR",
            "Disponible",
            "Firmas SAP"
        )
    ),
    "CONSULTAR"
)</f>
        <v>No Disponible</v>
      </c>
      <c r="Q486" s="460" t="str">
        <f>MID(Tabla13[[#This Row],[Código Indra]],1,13)</f>
        <v>0973545082002</v>
      </c>
      <c r="R486" s="464" t="str">
        <f>IF(ISNA(VLOOKUP(Tabla13[[#This Row],[Código Indra]],#REF!,1,FALSE)),"NO", "SI")</f>
        <v>SI</v>
      </c>
      <c r="S486" s="460" t="str">
        <f>IF(ISNA(VLOOKUP(Tabla13[[#This Row],[Código Indra]],Tabla132[[Código INDRA]:[Nombre]],1,FALSE)),"NO", "SI")</f>
        <v>SI</v>
      </c>
      <c r="T486" s="465" t="s">
        <v>2005</v>
      </c>
      <c r="U486" s="464" t="s">
        <v>256</v>
      </c>
      <c r="V486" s="464" t="e">
        <f>VLOOKUP(Tabla13[[#This Row],[Apoyo]],'LM SAP'!A:I,9,FALSE)</f>
        <v>#N/A</v>
      </c>
      <c r="W486" s="464" t="s">
        <v>234</v>
      </c>
      <c r="X486" s="466">
        <v>0</v>
      </c>
      <c r="Y486" s="464">
        <f>Tabla13[[#This Row],[ID]]</f>
        <v>475</v>
      </c>
    </row>
    <row r="487" spans="1:25" s="464" customFormat="1" ht="24" x14ac:dyDescent="0.25">
      <c r="A487" s="453">
        <v>476</v>
      </c>
      <c r="B487" s="557" t="s">
        <v>869</v>
      </c>
      <c r="C487" s="469" t="s">
        <v>2863</v>
      </c>
      <c r="D487" s="456" t="s">
        <v>862</v>
      </c>
      <c r="E487" s="457" t="s">
        <v>2864</v>
      </c>
      <c r="F487" s="458">
        <v>1</v>
      </c>
      <c r="G487" s="459"/>
      <c r="H487" s="460"/>
      <c r="I487" s="460" t="s">
        <v>591</v>
      </c>
      <c r="J487" s="460"/>
      <c r="K487" s="460" t="s">
        <v>1411</v>
      </c>
      <c r="L487" s="460">
        <v>60004996</v>
      </c>
      <c r="M487" s="461">
        <v>45615</v>
      </c>
      <c r="N487" s="461">
        <v>45629</v>
      </c>
      <c r="O487" s="470" t="s">
        <v>2862</v>
      </c>
      <c r="P487" s="463" t="str">
        <f>IF(LEFT(B487,5)="09735",
    IF(ISNA(VLOOKUP(Tabla13[[#This Row],[Apoyo]],'LM SAP'!A:G,1,FALSE)),
        "No Disponible",
        IF(VLOOKUP(Tabla13[[#This Row],[Apoyo]],'LM SAP'!A:AD,9,FALSE)="RR",
            "Disponible",
            "Firmas SAP"
        )
    ),
    "CONSULTAR"
)</f>
        <v>No Disponible</v>
      </c>
      <c r="Q487" s="460" t="str">
        <f>MID(Tabla13[[#This Row],[Código Indra]],1,13)</f>
        <v>0973545082003</v>
      </c>
      <c r="R487" s="464" t="str">
        <f>IF(ISNA(VLOOKUP(Tabla13[[#This Row],[Código Indra]],#REF!,1,FALSE)),"NO", "SI")</f>
        <v>SI</v>
      </c>
      <c r="S487" s="460" t="str">
        <f>IF(ISNA(VLOOKUP(Tabla13[[#This Row],[Código Indra]],Tabla132[[Código INDRA]:[Nombre]],1,FALSE)),"NO", "SI")</f>
        <v>SI</v>
      </c>
      <c r="T487" s="465" t="s">
        <v>2005</v>
      </c>
      <c r="U487" s="464" t="s">
        <v>256</v>
      </c>
      <c r="V487" s="464" t="e">
        <f>VLOOKUP(Tabla13[[#This Row],[Apoyo]],'LM SAP'!A:I,9,FALSE)</f>
        <v>#N/A</v>
      </c>
      <c r="W487" s="464" t="s">
        <v>234</v>
      </c>
      <c r="X487" s="466">
        <v>0</v>
      </c>
      <c r="Y487" s="464">
        <f>Tabla13[[#This Row],[ID]]</f>
        <v>476</v>
      </c>
    </row>
    <row r="488" spans="1:25" s="464" customFormat="1" ht="24" x14ac:dyDescent="0.25">
      <c r="A488" s="453">
        <v>477</v>
      </c>
      <c r="B488" s="557" t="s">
        <v>872</v>
      </c>
      <c r="C488" s="469" t="s">
        <v>2865</v>
      </c>
      <c r="D488" s="456" t="s">
        <v>862</v>
      </c>
      <c r="E488" s="457" t="s">
        <v>2866</v>
      </c>
      <c r="F488" s="458">
        <v>1</v>
      </c>
      <c r="G488" s="459"/>
      <c r="H488" s="460"/>
      <c r="I488" s="460" t="s">
        <v>591</v>
      </c>
      <c r="J488" s="460"/>
      <c r="K488" s="460" t="s">
        <v>1411</v>
      </c>
      <c r="L488" s="460">
        <v>60005169</v>
      </c>
      <c r="M488" s="461">
        <v>45621</v>
      </c>
      <c r="N488" s="461">
        <v>45638</v>
      </c>
      <c r="O488" s="470" t="s">
        <v>2867</v>
      </c>
      <c r="P488" s="463" t="str">
        <f>IF(LEFT(B488,5)="09735",
    IF(ISNA(VLOOKUP(Tabla13[[#This Row],[Apoyo]],'LM SAP'!A:G,1,FALSE)),
        "No Disponible",
        IF(VLOOKUP(Tabla13[[#This Row],[Apoyo]],'LM SAP'!A:AD,9,FALSE)="RR",
            "Disponible",
            "Firmas SAP"
        )
    ),
    "CONSULTAR"
)</f>
        <v>No Disponible</v>
      </c>
      <c r="Q488" s="460" t="str">
        <f>MID(Tabla13[[#This Row],[Código Indra]],1,13)</f>
        <v>0973545082004</v>
      </c>
      <c r="R488" s="464" t="str">
        <f>IF(ISNA(VLOOKUP(Tabla13[[#This Row],[Código Indra]],#REF!,1,FALSE)),"NO", "SI")</f>
        <v>SI</v>
      </c>
      <c r="S488" s="460" t="str">
        <f>IF(ISNA(VLOOKUP(Tabla13[[#This Row],[Código Indra]],Tabla132[[Código INDRA]:[Nombre]],1,FALSE)),"NO", "SI")</f>
        <v>NO</v>
      </c>
      <c r="T488" s="465" t="s">
        <v>2005</v>
      </c>
      <c r="U488" s="464" t="s">
        <v>256</v>
      </c>
      <c r="V488" s="464" t="e">
        <f>VLOOKUP(Tabla13[[#This Row],[Apoyo]],'LM SAP'!A:I,9,FALSE)</f>
        <v>#N/A</v>
      </c>
      <c r="W488" s="464" t="s">
        <v>234</v>
      </c>
      <c r="X488" s="466">
        <v>0</v>
      </c>
      <c r="Y488" s="464">
        <f>Tabla13[[#This Row],[ID]]</f>
        <v>477</v>
      </c>
    </row>
    <row r="489" spans="1:25" s="464" customFormat="1" ht="24" x14ac:dyDescent="0.25">
      <c r="A489" s="453">
        <v>478</v>
      </c>
      <c r="B489" s="557" t="s">
        <v>875</v>
      </c>
      <c r="C489" s="469" t="s">
        <v>2868</v>
      </c>
      <c r="D489" s="456" t="s">
        <v>862</v>
      </c>
      <c r="E489" s="457" t="s">
        <v>2869</v>
      </c>
      <c r="F489" s="458">
        <v>1</v>
      </c>
      <c r="G489" s="459"/>
      <c r="H489" s="460"/>
      <c r="I489" s="460" t="s">
        <v>591</v>
      </c>
      <c r="J489" s="460"/>
      <c r="K489" s="460" t="s">
        <v>1411</v>
      </c>
      <c r="L489" s="460">
        <v>60005170</v>
      </c>
      <c r="M489" s="461">
        <v>45621</v>
      </c>
      <c r="N489" s="461">
        <v>45636</v>
      </c>
      <c r="O489" s="470" t="s">
        <v>2867</v>
      </c>
      <c r="P489" s="463" t="str">
        <f>IF(LEFT(B489,5)="09735",
    IF(ISNA(VLOOKUP(Tabla13[[#This Row],[Apoyo]],'LM SAP'!A:G,1,FALSE)),
        "No Disponible",
        IF(VLOOKUP(Tabla13[[#This Row],[Apoyo]],'LM SAP'!A:AD,9,FALSE)="RR",
            "Disponible",
            "Firmas SAP"
        )
    ),
    "CONSULTAR"
)</f>
        <v>No Disponible</v>
      </c>
      <c r="Q489" s="460" t="str">
        <f>MID(Tabla13[[#This Row],[Código Indra]],1,13)</f>
        <v>0973545082005</v>
      </c>
      <c r="R489" s="464" t="str">
        <f>IF(ISNA(VLOOKUP(Tabla13[[#This Row],[Código Indra]],#REF!,1,FALSE)),"NO", "SI")</f>
        <v>SI</v>
      </c>
      <c r="S489" s="460" t="str">
        <f>IF(ISNA(VLOOKUP(Tabla13[[#This Row],[Código Indra]],Tabla132[[Código INDRA]:[Nombre]],1,FALSE)),"NO", "SI")</f>
        <v>NO</v>
      </c>
      <c r="T489" s="465" t="s">
        <v>2005</v>
      </c>
      <c r="U489" s="464" t="s">
        <v>256</v>
      </c>
      <c r="V489" s="464" t="e">
        <f>VLOOKUP(Tabla13[[#This Row],[Apoyo]],'LM SAP'!A:I,9,FALSE)</f>
        <v>#N/A</v>
      </c>
      <c r="W489" s="464" t="s">
        <v>234</v>
      </c>
      <c r="X489" s="466">
        <v>0</v>
      </c>
      <c r="Y489" s="464">
        <f>Tabla13[[#This Row],[ID]]</f>
        <v>478</v>
      </c>
    </row>
    <row r="490" spans="1:25" s="464" customFormat="1" ht="24" x14ac:dyDescent="0.25">
      <c r="A490" s="453">
        <v>479</v>
      </c>
      <c r="B490" s="557" t="s">
        <v>879</v>
      </c>
      <c r="C490" s="469" t="s">
        <v>2870</v>
      </c>
      <c r="D490" s="456" t="s">
        <v>862</v>
      </c>
      <c r="E490" s="457" t="s">
        <v>2871</v>
      </c>
      <c r="F490" s="458">
        <v>1</v>
      </c>
      <c r="G490" s="459"/>
      <c r="H490" s="460"/>
      <c r="I490" s="460" t="s">
        <v>591</v>
      </c>
      <c r="J490" s="460"/>
      <c r="K490" s="460" t="s">
        <v>1411</v>
      </c>
      <c r="L490" s="460">
        <v>60005171</v>
      </c>
      <c r="M490" s="461">
        <v>45621</v>
      </c>
      <c r="N490" s="461">
        <v>45636</v>
      </c>
      <c r="O490" s="470" t="s">
        <v>2867</v>
      </c>
      <c r="P490" s="463" t="str">
        <f>IF(LEFT(B490,5)="09735",
    IF(ISNA(VLOOKUP(Tabla13[[#This Row],[Apoyo]],'LM SAP'!A:G,1,FALSE)),
        "No Disponible",
        IF(VLOOKUP(Tabla13[[#This Row],[Apoyo]],'LM SAP'!A:AD,9,FALSE)="RR",
            "Disponible",
            "Firmas SAP"
        )
    ),
    "CONSULTAR"
)</f>
        <v>No Disponible</v>
      </c>
      <c r="Q490" s="460" t="str">
        <f>MID(Tabla13[[#This Row],[Código Indra]],1,13)</f>
        <v>0973545082006</v>
      </c>
      <c r="R490" s="464" t="str">
        <f>IF(ISNA(VLOOKUP(Tabla13[[#This Row],[Código Indra]],#REF!,1,FALSE)),"NO", "SI")</f>
        <v>SI</v>
      </c>
      <c r="S490" s="460" t="str">
        <f>IF(ISNA(VLOOKUP(Tabla13[[#This Row],[Código Indra]],Tabla132[[Código INDRA]:[Nombre]],1,FALSE)),"NO", "SI")</f>
        <v>NO</v>
      </c>
      <c r="T490" s="465" t="s">
        <v>2005</v>
      </c>
      <c r="U490" s="464" t="s">
        <v>256</v>
      </c>
      <c r="V490" s="464" t="e">
        <f>VLOOKUP(Tabla13[[#This Row],[Apoyo]],'LM SAP'!A:I,9,FALSE)</f>
        <v>#N/A</v>
      </c>
      <c r="W490" s="464" t="s">
        <v>234</v>
      </c>
      <c r="X490" s="466">
        <v>0</v>
      </c>
      <c r="Y490" s="464">
        <f>Tabla13[[#This Row],[ID]]</f>
        <v>479</v>
      </c>
    </row>
    <row r="491" spans="1:25" s="464" customFormat="1" ht="24" x14ac:dyDescent="0.25">
      <c r="A491" s="453">
        <v>480</v>
      </c>
      <c r="B491" s="557" t="s">
        <v>883</v>
      </c>
      <c r="C491" s="469" t="s">
        <v>2872</v>
      </c>
      <c r="D491" s="456" t="s">
        <v>862</v>
      </c>
      <c r="E491" s="457" t="s">
        <v>2873</v>
      </c>
      <c r="F491" s="458">
        <v>1</v>
      </c>
      <c r="G491" s="459"/>
      <c r="H491" s="460"/>
      <c r="I491" s="460" t="s">
        <v>591</v>
      </c>
      <c r="J491" s="460"/>
      <c r="K491" s="460" t="s">
        <v>1411</v>
      </c>
      <c r="L491" s="460">
        <v>60005172</v>
      </c>
      <c r="M491" s="461">
        <v>45621</v>
      </c>
      <c r="N491" s="461">
        <v>45643</v>
      </c>
      <c r="O491" s="470" t="s">
        <v>2867</v>
      </c>
      <c r="P491" s="463" t="str">
        <f>IF(LEFT(B491,5)="09735",
    IF(ISNA(VLOOKUP(Tabla13[[#This Row],[Apoyo]],'LM SAP'!A:G,1,FALSE)),
        "No Disponible",
        IF(VLOOKUP(Tabla13[[#This Row],[Apoyo]],'LM SAP'!A:AD,9,FALSE)="RR",
            "Disponible",
            "Firmas SAP"
        )
    ),
    "CONSULTAR"
)</f>
        <v>No Disponible</v>
      </c>
      <c r="Q491" s="460" t="str">
        <f>MID(Tabla13[[#This Row],[Código Indra]],1,13)</f>
        <v>0973545082007</v>
      </c>
      <c r="R491" s="464" t="str">
        <f>IF(ISNA(VLOOKUP(Tabla13[[#This Row],[Código Indra]],#REF!,1,FALSE)),"NO", "SI")</f>
        <v>SI</v>
      </c>
      <c r="S491" s="460" t="str">
        <f>IF(ISNA(VLOOKUP(Tabla13[[#This Row],[Código Indra]],Tabla132[[Código INDRA]:[Nombre]],1,FALSE)),"NO", "SI")</f>
        <v>NO</v>
      </c>
      <c r="T491" s="465" t="s">
        <v>2005</v>
      </c>
      <c r="U491" s="464" t="s">
        <v>256</v>
      </c>
      <c r="V491" s="464" t="e">
        <f>VLOOKUP(Tabla13[[#This Row],[Apoyo]],'LM SAP'!A:I,9,FALSE)</f>
        <v>#N/A</v>
      </c>
      <c r="W491" s="464" t="s">
        <v>234</v>
      </c>
      <c r="X491" s="466">
        <v>0</v>
      </c>
      <c r="Y491" s="464">
        <f>Tabla13[[#This Row],[ID]]</f>
        <v>480</v>
      </c>
    </row>
    <row r="492" spans="1:25" s="464" customFormat="1" ht="24" x14ac:dyDescent="0.25">
      <c r="A492" s="453">
        <v>481</v>
      </c>
      <c r="B492" s="557" t="s">
        <v>887</v>
      </c>
      <c r="C492" s="469" t="s">
        <v>2874</v>
      </c>
      <c r="D492" s="456" t="s">
        <v>862</v>
      </c>
      <c r="E492" s="457" t="s">
        <v>2875</v>
      </c>
      <c r="F492" s="458">
        <v>1</v>
      </c>
      <c r="G492" s="459"/>
      <c r="H492" s="460"/>
      <c r="I492" s="460" t="s">
        <v>591</v>
      </c>
      <c r="J492" s="460"/>
      <c r="K492" s="460" t="s">
        <v>1411</v>
      </c>
      <c r="L492" s="460">
        <v>60005173</v>
      </c>
      <c r="M492" s="461">
        <v>45621</v>
      </c>
      <c r="N492" s="461">
        <v>45636</v>
      </c>
      <c r="O492" s="470" t="s">
        <v>2867</v>
      </c>
      <c r="P492" s="463" t="str">
        <f>IF(LEFT(B492,5)="09735",
    IF(ISNA(VLOOKUP(Tabla13[[#This Row],[Apoyo]],'LM SAP'!A:G,1,FALSE)),
        "No Disponible",
        IF(VLOOKUP(Tabla13[[#This Row],[Apoyo]],'LM SAP'!A:AD,9,FALSE)="RR",
            "Disponible",
            "Firmas SAP"
        )
    ),
    "CONSULTAR"
)</f>
        <v>No Disponible</v>
      </c>
      <c r="Q492" s="460" t="str">
        <f>MID(Tabla13[[#This Row],[Código Indra]],1,13)</f>
        <v>0973545082008</v>
      </c>
      <c r="R492" s="464" t="str">
        <f>IF(ISNA(VLOOKUP(Tabla13[[#This Row],[Código Indra]],#REF!,1,FALSE)),"NO", "SI")</f>
        <v>SI</v>
      </c>
      <c r="S492" s="460" t="str">
        <f>IF(ISNA(VLOOKUP(Tabla13[[#This Row],[Código Indra]],Tabla132[[Código INDRA]:[Nombre]],1,FALSE)),"NO", "SI")</f>
        <v>NO</v>
      </c>
      <c r="T492" s="465" t="s">
        <v>2005</v>
      </c>
      <c r="U492" s="464" t="s">
        <v>256</v>
      </c>
      <c r="V492" s="464" t="e">
        <f>VLOOKUP(Tabla13[[#This Row],[Apoyo]],'LM SAP'!A:I,9,FALSE)</f>
        <v>#N/A</v>
      </c>
      <c r="W492" s="464" t="s">
        <v>234</v>
      </c>
      <c r="X492" s="466">
        <v>0</v>
      </c>
      <c r="Y492" s="464">
        <f>Tabla13[[#This Row],[ID]]</f>
        <v>481</v>
      </c>
    </row>
    <row r="493" spans="1:25" s="464" customFormat="1" ht="84" x14ac:dyDescent="0.25">
      <c r="A493" s="453">
        <v>482</v>
      </c>
      <c r="B493" s="496" t="s">
        <v>152</v>
      </c>
      <c r="C493" s="455" t="s">
        <v>153</v>
      </c>
      <c r="D493" s="456"/>
      <c r="E493" s="457" t="s">
        <v>1318</v>
      </c>
      <c r="F493" s="458">
        <v>1</v>
      </c>
      <c r="G493" s="459" t="s">
        <v>260</v>
      </c>
      <c r="H493" s="460" t="s">
        <v>2000</v>
      </c>
      <c r="I493" s="460" t="s">
        <v>276</v>
      </c>
      <c r="J493" s="460"/>
      <c r="K493" s="460" t="s">
        <v>220</v>
      </c>
      <c r="L493" s="460">
        <v>60005435</v>
      </c>
      <c r="M493" s="461">
        <v>45643</v>
      </c>
      <c r="N493" s="461">
        <v>45673</v>
      </c>
      <c r="O493" s="467" t="s">
        <v>2876</v>
      </c>
      <c r="P493" s="463" t="str">
        <f>IF(LEFT(B493,5)="09735",
    IF(ISNA(VLOOKUP(Tabla13[[#This Row],[Apoyo]],'LM SAP'!A:G,1,FALSE)),
        "No Disponible",
        IF(VLOOKUP(Tabla13[[#This Row],[Apoyo]],'LM SAP'!A:AD,9,FALSE)="RR",
            "Disponible",
            "Firmas SAP"
        )
    ),
    "CONSULTAR"
)</f>
        <v>No Disponible</v>
      </c>
      <c r="Q493" s="460" t="str">
        <f>MID(Tabla13[[#This Row],[Código Indra]],1,13)</f>
        <v>0973524310000</v>
      </c>
      <c r="R493" s="464" t="str">
        <f>IF(ISNA(VLOOKUP(Tabla13[[#This Row],[Código Indra]],#REF!,1,FALSE)),"NO", "SI")</f>
        <v>SI</v>
      </c>
      <c r="S493" s="460" t="str">
        <f>IF(ISNA(VLOOKUP(Tabla13[[#This Row],[Código Indra]],Tabla132[[Código INDRA]:[Nombre]],1,FALSE)),"NO", "SI")</f>
        <v>SI</v>
      </c>
      <c r="T493" s="465"/>
      <c r="U493" s="464" t="s">
        <v>227</v>
      </c>
      <c r="V493" s="464" t="e">
        <f>VLOOKUP(Tabla13[[#This Row],[Apoyo]],'LM SAP'!A:I,9,FALSE)</f>
        <v>#N/A</v>
      </c>
      <c r="X493" s="466">
        <v>0</v>
      </c>
      <c r="Y493" s="464">
        <f>Tabla13[[#This Row],[ID]]</f>
        <v>482</v>
      </c>
    </row>
    <row r="494" spans="1:25" s="464" customFormat="1" ht="72" x14ac:dyDescent="0.25">
      <c r="A494" s="453">
        <v>483</v>
      </c>
      <c r="B494" s="454">
        <v>973545310100</v>
      </c>
      <c r="C494" s="469" t="s">
        <v>852</v>
      </c>
      <c r="D494" s="456" t="s">
        <v>153</v>
      </c>
      <c r="E494" s="457" t="s">
        <v>2877</v>
      </c>
      <c r="F494" s="458">
        <v>1</v>
      </c>
      <c r="G494" s="459"/>
      <c r="H494" s="460"/>
      <c r="I494" s="460" t="s">
        <v>276</v>
      </c>
      <c r="J494" s="460"/>
      <c r="K494" s="460" t="s">
        <v>1411</v>
      </c>
      <c r="L494" s="460">
        <v>60004842</v>
      </c>
      <c r="M494" s="461">
        <v>45607</v>
      </c>
      <c r="N494" s="461">
        <v>45611</v>
      </c>
      <c r="O494" s="470" t="s">
        <v>854</v>
      </c>
      <c r="P494" s="463" t="str">
        <f>IF(LEFT(B494,5)="09735",
    IF(ISNA(VLOOKUP(Tabla13[[#This Row],[Apoyo]],'LM SAP'!A:G,1,FALSE)),
        "No Disponible",
        IF(VLOOKUP(Tabla13[[#This Row],[Apoyo]],'LM SAP'!A:AD,9,FALSE)="RR",
            "Disponible",
            "Firmas SAP"
        )
    ),
    "CONSULTAR"
)</f>
        <v>CONSULTAR</v>
      </c>
      <c r="Q494" s="460" t="str">
        <f>MID(Tabla13[[#This Row],[Código Indra]],1,13)</f>
        <v>973545310100</v>
      </c>
      <c r="R494" s="464" t="str">
        <f>IF(ISNA(VLOOKUP(Tabla13[[#This Row],[Código Indra]],#REF!,1,FALSE)),"NO", "SI")</f>
        <v>SI</v>
      </c>
      <c r="S494" s="460" t="str">
        <f>IF(ISNA(VLOOKUP(Tabla13[[#This Row],[Código Indra]],Tabla132[[Código INDRA]:[Nombre]],1,FALSE)),"NO", "SI")</f>
        <v>NO</v>
      </c>
      <c r="T494" s="465"/>
      <c r="U494" s="464" t="s">
        <v>256</v>
      </c>
      <c r="V494" s="464" t="e">
        <f>VLOOKUP(Tabla13[[#This Row],[Apoyo]],'LM SAP'!A:I,9,FALSE)</f>
        <v>#N/A</v>
      </c>
      <c r="X494" s="466">
        <v>0</v>
      </c>
      <c r="Y494" s="464">
        <f>Tabla13[[#This Row],[ID]]</f>
        <v>483</v>
      </c>
    </row>
    <row r="495" spans="1:25" s="464" customFormat="1" ht="48" x14ac:dyDescent="0.25">
      <c r="A495" s="453">
        <v>484</v>
      </c>
      <c r="B495" s="480" t="s">
        <v>855</v>
      </c>
      <c r="C495" s="469" t="s">
        <v>116</v>
      </c>
      <c r="D495" s="456" t="s">
        <v>153</v>
      </c>
      <c r="E495" s="457" t="s">
        <v>857</v>
      </c>
      <c r="F495" s="458">
        <v>1</v>
      </c>
      <c r="G495" s="459"/>
      <c r="H495" s="460"/>
      <c r="I495" s="460" t="s">
        <v>276</v>
      </c>
      <c r="J495" s="460"/>
      <c r="K495" s="460" t="s">
        <v>1411</v>
      </c>
      <c r="L495" s="460">
        <v>60004731</v>
      </c>
      <c r="M495" s="461">
        <v>45595</v>
      </c>
      <c r="N495" s="461">
        <v>45602</v>
      </c>
      <c r="O495" s="470" t="s">
        <v>2878</v>
      </c>
      <c r="P495" s="463" t="str">
        <f>IF(LEFT(B495,5)="09735",
    IF(ISNA(VLOOKUP(Tabla13[[#This Row],[Apoyo]],'LM SAP'!A:G,1,FALSE)),
        "No Disponible",
        IF(VLOOKUP(Tabla13[[#This Row],[Apoyo]],'LM SAP'!A:AD,9,FALSE)="RR",
            "Disponible",
            "Firmas SAP"
        )
    ),
    "CONSULTAR"
)</f>
        <v>No Disponible</v>
      </c>
      <c r="Q495" s="460" t="str">
        <f>MID(Tabla13[[#This Row],[Código Indra]],1,13)</f>
        <v>0973545310200</v>
      </c>
      <c r="R495" s="464" t="str">
        <f>IF(ISNA(VLOOKUP(Tabla13[[#This Row],[Código Indra]],#REF!,1,FALSE)),"NO", "SI")</f>
        <v>SI</v>
      </c>
      <c r="S495" s="460" t="str">
        <f>IF(ISNA(VLOOKUP(Tabla13[[#This Row],[Código Indra]],Tabla132[[Código INDRA]:[Nombre]],1,FALSE)),"NO", "SI")</f>
        <v>SI</v>
      </c>
      <c r="T495" s="465"/>
      <c r="U495" s="464" t="s">
        <v>256</v>
      </c>
      <c r="V495" s="464" t="e">
        <f>VLOOKUP(Tabla13[[#This Row],[Apoyo]],'LM SAP'!A:I,9,FALSE)</f>
        <v>#N/A</v>
      </c>
      <c r="X495" s="466">
        <v>0</v>
      </c>
      <c r="Y495" s="464">
        <f>Tabla13[[#This Row],[ID]]</f>
        <v>484</v>
      </c>
    </row>
    <row r="496" spans="1:25" s="464" customFormat="1" x14ac:dyDescent="0.25">
      <c r="A496" s="453">
        <v>485</v>
      </c>
      <c r="B496" s="454" t="s">
        <v>979</v>
      </c>
      <c r="C496" s="469" t="s">
        <v>2879</v>
      </c>
      <c r="D496" s="456" t="s">
        <v>153</v>
      </c>
      <c r="E496" s="457" t="s">
        <v>700</v>
      </c>
      <c r="F496" s="458">
        <v>1</v>
      </c>
      <c r="G496" s="459"/>
      <c r="H496" s="460"/>
      <c r="I496" s="460" t="s">
        <v>276</v>
      </c>
      <c r="J496" s="460"/>
      <c r="K496" s="460" t="s">
        <v>1411</v>
      </c>
      <c r="L496" s="460">
        <v>60005081</v>
      </c>
      <c r="M496" s="461">
        <v>45616</v>
      </c>
      <c r="N496" s="461">
        <v>45679</v>
      </c>
      <c r="O496" s="470" t="s">
        <v>2091</v>
      </c>
      <c r="P496" s="463" t="str">
        <f>IF(LEFT(B496,5)="09735",
    IF(ISNA(VLOOKUP(Tabla13[[#This Row],[Apoyo]],'LM SAP'!A:G,1,FALSE)),
        "No Disponible",
        IF(VLOOKUP(Tabla13[[#This Row],[Apoyo]],'LM SAP'!A:AD,9,FALSE)="RR",
            "Disponible",
            "Firmas SAP"
        )
    ),
    "CONSULTAR"
)</f>
        <v>No Disponible</v>
      </c>
      <c r="Q496" s="460" t="str">
        <f>MID(Tabla13[[#This Row],[Código Indra]],1,13)</f>
        <v>0973545084400</v>
      </c>
      <c r="R496" s="464" t="str">
        <f>IF(ISNA(VLOOKUP(Tabla13[[#This Row],[Código Indra]],#REF!,1,FALSE)),"NO", "SI")</f>
        <v>SI</v>
      </c>
      <c r="S496" s="460" t="str">
        <f>IF(ISNA(VLOOKUP(Tabla13[[#This Row],[Código Indra]],Tabla132[[Código INDRA]:[Nombre]],1,FALSE)),"NO", "SI")</f>
        <v>NO</v>
      </c>
      <c r="T496" s="465"/>
      <c r="U496" s="464" t="s">
        <v>256</v>
      </c>
      <c r="V496" s="464" t="e">
        <f>VLOOKUP(Tabla13[[#This Row],[Apoyo]],'LM SAP'!A:I,9,FALSE)</f>
        <v>#N/A</v>
      </c>
      <c r="X496" s="466">
        <v>0</v>
      </c>
      <c r="Y496" s="464">
        <f>Tabla13[[#This Row],[ID]]</f>
        <v>485</v>
      </c>
    </row>
    <row r="497" spans="1:25" s="464" customFormat="1" ht="24" x14ac:dyDescent="0.25">
      <c r="A497" s="453">
        <v>486</v>
      </c>
      <c r="B497" s="454" t="s">
        <v>592</v>
      </c>
      <c r="C497" s="469" t="s">
        <v>2880</v>
      </c>
      <c r="D497" s="456" t="s">
        <v>153</v>
      </c>
      <c r="E497" s="457" t="s">
        <v>594</v>
      </c>
      <c r="F497" s="458">
        <v>1</v>
      </c>
      <c r="G497" s="459"/>
      <c r="H497" s="460"/>
      <c r="I497" s="460" t="s">
        <v>276</v>
      </c>
      <c r="J497" s="460"/>
      <c r="K497" s="460" t="s">
        <v>1411</v>
      </c>
      <c r="L497" s="460">
        <v>60004841</v>
      </c>
      <c r="M497" s="461">
        <v>45607</v>
      </c>
      <c r="N497" s="461">
        <v>45643</v>
      </c>
      <c r="O497" s="470" t="s">
        <v>2566</v>
      </c>
      <c r="P497" s="463" t="str">
        <f>IF(LEFT(B497,5)="09735",
    IF(ISNA(VLOOKUP(Tabla13[[#This Row],[Apoyo]],'LM SAP'!A:G,1,FALSE)),
        "No Disponible",
        IF(VLOOKUP(Tabla13[[#This Row],[Apoyo]],'LM SAP'!A:AD,9,FALSE)="RR",
            "Disponible",
            "Firmas SAP"
        )
    ),
    "CONSULTAR"
)</f>
        <v>No Disponible</v>
      </c>
      <c r="Q497" s="460" t="str">
        <f>MID(Tabla13[[#This Row],[Código Indra]],1,13)</f>
        <v>0973545084300</v>
      </c>
      <c r="R497" s="464" t="str">
        <f>IF(ISNA(VLOOKUP(Tabla13[[#This Row],[Código Indra]],#REF!,1,FALSE)),"NO", "SI")</f>
        <v>SI</v>
      </c>
      <c r="S497" s="460" t="str">
        <f>IF(ISNA(VLOOKUP(Tabla13[[#This Row],[Código Indra]],Tabla132[[Código INDRA]:[Nombre]],1,FALSE)),"NO", "SI")</f>
        <v>NO</v>
      </c>
      <c r="T497" s="465"/>
      <c r="U497" s="464" t="s">
        <v>256</v>
      </c>
      <c r="V497" s="464" t="e">
        <f>VLOOKUP(Tabla13[[#This Row],[Apoyo]],'LM SAP'!A:I,9,FALSE)</f>
        <v>#N/A</v>
      </c>
      <c r="X497" s="466">
        <v>0</v>
      </c>
      <c r="Y497" s="464">
        <f>Tabla13[[#This Row],[ID]]</f>
        <v>486</v>
      </c>
    </row>
    <row r="498" spans="1:25" s="464" customFormat="1" ht="36" x14ac:dyDescent="0.25">
      <c r="A498" s="453">
        <v>539</v>
      </c>
      <c r="B498" s="548" t="s">
        <v>1264</v>
      </c>
      <c r="C498" s="469" t="s">
        <v>2881</v>
      </c>
      <c r="D498" s="456" t="s">
        <v>1113</v>
      </c>
      <c r="E498" s="457" t="s">
        <v>2882</v>
      </c>
      <c r="F498" s="458">
        <v>1</v>
      </c>
      <c r="G498" s="459"/>
      <c r="H498" s="460"/>
      <c r="I498" s="460" t="s">
        <v>2011</v>
      </c>
      <c r="J498" s="460"/>
      <c r="K498" s="460" t="s">
        <v>1411</v>
      </c>
      <c r="L498" s="460">
        <v>60005381</v>
      </c>
      <c r="M498" s="461">
        <v>45637</v>
      </c>
      <c r="N498" s="461">
        <v>45644</v>
      </c>
      <c r="O498" s="470" t="s">
        <v>2279</v>
      </c>
      <c r="P498" s="463" t="str">
        <f>IF(LEFT(B498,5)="09735",
    IF(ISNA(VLOOKUP(Tabla13[[#This Row],[Apoyo]],'LM SAP'!A:G,1,FALSE)),
        "No Disponible",
        IF(VLOOKUP(Tabla13[[#This Row],[Apoyo]],'LM SAP'!A:AD,9,FALSE)="RR",
            "Disponible",
            "Firmas SAP"
        )
    ),
    "CONSULTAR"
)</f>
        <v>No Disponible</v>
      </c>
      <c r="Q498" s="460" t="str">
        <f>MID(Tabla13[[#This Row],[Código Indra]],1,13)</f>
        <v>0973545020700</v>
      </c>
      <c r="R498" s="464" t="str">
        <f>IF(ISNA(VLOOKUP(Tabla13[[#This Row],[Código Indra]],#REF!,1,FALSE)),"NO", "SI")</f>
        <v>SI</v>
      </c>
      <c r="S498" s="460" t="str">
        <f>IF(ISNA(VLOOKUP(Tabla13[[#This Row],[Código Indra]],Tabla132[[Código INDRA]:[Nombre]],1,FALSE)),"NO", "SI")</f>
        <v>SI</v>
      </c>
      <c r="T498" s="465" t="s">
        <v>2005</v>
      </c>
      <c r="U498" s="464" t="s">
        <v>256</v>
      </c>
      <c r="V498" s="464" t="e">
        <f>VLOOKUP(Tabla13[[#This Row],[Apoyo]],'LM SAP'!A:I,9,FALSE)</f>
        <v>#N/A</v>
      </c>
      <c r="W498" s="464" t="s">
        <v>234</v>
      </c>
      <c r="X498" s="466">
        <v>0</v>
      </c>
      <c r="Y498" s="464">
        <f>Tabla13[[#This Row],[ID]]</f>
        <v>539</v>
      </c>
    </row>
    <row r="499" spans="1:25" s="464" customFormat="1" ht="36" x14ac:dyDescent="0.25">
      <c r="A499" s="453">
        <v>538</v>
      </c>
      <c r="B499" s="548" t="s">
        <v>1261</v>
      </c>
      <c r="C499" s="469" t="s">
        <v>2883</v>
      </c>
      <c r="D499" s="456" t="s">
        <v>1108</v>
      </c>
      <c r="E499" s="457" t="s">
        <v>1263</v>
      </c>
      <c r="F499" s="458">
        <v>1</v>
      </c>
      <c r="G499" s="459"/>
      <c r="H499" s="460"/>
      <c r="I499" s="460" t="s">
        <v>2011</v>
      </c>
      <c r="J499" s="460"/>
      <c r="K499" s="460" t="s">
        <v>1411</v>
      </c>
      <c r="L499" s="460">
        <v>60005228</v>
      </c>
      <c r="M499" s="461">
        <v>45622</v>
      </c>
      <c r="N499" s="461">
        <v>45625</v>
      </c>
      <c r="O499" s="470" t="s">
        <v>281</v>
      </c>
      <c r="P499" s="463" t="str">
        <f>IF(LEFT(B499,5)="09735",
    IF(ISNA(VLOOKUP(Tabla13[[#This Row],[Apoyo]],'LM SAP'!A:G,1,FALSE)),
        "No Disponible",
        IF(VLOOKUP(Tabla13[[#This Row],[Apoyo]],'LM SAP'!A:AD,9,FALSE)="RR",
            "Disponible",
            "Firmas SAP"
        )
    ),
    "CONSULTAR"
)</f>
        <v>Disponible</v>
      </c>
      <c r="Q499" s="460" t="str">
        <f>MID(Tabla13[[#This Row],[Código Indra]],1,13)</f>
        <v>0973545020688</v>
      </c>
      <c r="R499" s="464" t="str">
        <f>IF(ISNA(VLOOKUP(Tabla13[[#This Row],[Código Indra]],#REF!,1,FALSE)),"NO", "SI")</f>
        <v>SI</v>
      </c>
      <c r="S499" s="460" t="str">
        <f>IF(ISNA(VLOOKUP(Tabla13[[#This Row],[Código Indra]],Tabla132[[Código INDRA]:[Nombre]],1,FALSE)),"NO", "SI")</f>
        <v>SI</v>
      </c>
      <c r="T499" s="465" t="s">
        <v>2005</v>
      </c>
      <c r="U499" s="464" t="s">
        <v>256</v>
      </c>
      <c r="V499" s="464" t="str">
        <f>VLOOKUP(Tabla13[[#This Row],[Apoyo]],'LM SAP'!A:I,9,FALSE)</f>
        <v>RR</v>
      </c>
      <c r="W499" s="464" t="s">
        <v>234</v>
      </c>
      <c r="X499" s="466">
        <v>0</v>
      </c>
      <c r="Y499" s="464">
        <f>Tabla13[[#This Row],[ID]]</f>
        <v>538</v>
      </c>
    </row>
    <row r="500" spans="1:25" s="464" customFormat="1" ht="36" x14ac:dyDescent="0.25">
      <c r="A500" s="453">
        <v>537</v>
      </c>
      <c r="B500" s="548" t="s">
        <v>1258</v>
      </c>
      <c r="C500" s="469" t="s">
        <v>2884</v>
      </c>
      <c r="D500" s="456" t="s">
        <v>1108</v>
      </c>
      <c r="E500" s="457" t="s">
        <v>2885</v>
      </c>
      <c r="F500" s="458">
        <v>1</v>
      </c>
      <c r="G500" s="459"/>
      <c r="H500" s="460"/>
      <c r="I500" s="460" t="s">
        <v>2011</v>
      </c>
      <c r="J500" s="460"/>
      <c r="K500" s="460" t="s">
        <v>1411</v>
      </c>
      <c r="L500" s="460">
        <v>60005227</v>
      </c>
      <c r="M500" s="461">
        <v>45622</v>
      </c>
      <c r="N500" s="461">
        <v>45625</v>
      </c>
      <c r="O500" s="470" t="s">
        <v>281</v>
      </c>
      <c r="P500" s="463" t="str">
        <f>IF(LEFT(B500,5)="09735",
    IF(ISNA(VLOOKUP(Tabla13[[#This Row],[Apoyo]],'LM SAP'!A:G,1,FALSE)),
        "No Disponible",
        IF(VLOOKUP(Tabla13[[#This Row],[Apoyo]],'LM SAP'!A:AD,9,FALSE)="RR",
            "Disponible",
            "Firmas SAP"
        )
    ),
    "CONSULTAR"
)</f>
        <v>Disponible</v>
      </c>
      <c r="Q500" s="460" t="str">
        <f>MID(Tabla13[[#This Row],[Código Indra]],1,13)</f>
        <v>0973545020687</v>
      </c>
      <c r="R500" s="464" t="str">
        <f>IF(ISNA(VLOOKUP(Tabla13[[#This Row],[Código Indra]],#REF!,1,FALSE)),"NO", "SI")</f>
        <v>SI</v>
      </c>
      <c r="S500" s="460" t="str">
        <f>IF(ISNA(VLOOKUP(Tabla13[[#This Row],[Código Indra]],Tabla132[[Código INDRA]:[Nombre]],1,FALSE)),"NO", "SI")</f>
        <v>SI</v>
      </c>
      <c r="T500" s="465" t="s">
        <v>2005</v>
      </c>
      <c r="U500" s="464" t="s">
        <v>256</v>
      </c>
      <c r="V500" s="464" t="str">
        <f>VLOOKUP(Tabla13[[#This Row],[Apoyo]],'LM SAP'!A:I,9,FALSE)</f>
        <v>RR</v>
      </c>
      <c r="W500" s="464" t="s">
        <v>234</v>
      </c>
      <c r="X500" s="466">
        <v>0</v>
      </c>
      <c r="Y500" s="464">
        <f>Tabla13[[#This Row],[ID]]</f>
        <v>537</v>
      </c>
    </row>
    <row r="501" spans="1:25" s="464" customFormat="1" ht="36" x14ac:dyDescent="0.25">
      <c r="A501" s="453">
        <v>536</v>
      </c>
      <c r="B501" s="548" t="s">
        <v>1255</v>
      </c>
      <c r="C501" s="469" t="s">
        <v>2886</v>
      </c>
      <c r="D501" s="456" t="s">
        <v>1117</v>
      </c>
      <c r="E501" s="457" t="s">
        <v>2887</v>
      </c>
      <c r="F501" s="458">
        <v>1</v>
      </c>
      <c r="G501" s="459"/>
      <c r="H501" s="460"/>
      <c r="I501" s="460" t="s">
        <v>2011</v>
      </c>
      <c r="J501" s="460"/>
      <c r="K501" s="460" t="s">
        <v>1411</v>
      </c>
      <c r="L501" s="460">
        <v>60005197</v>
      </c>
      <c r="M501" s="461">
        <v>45622</v>
      </c>
      <c r="N501" s="461">
        <v>45625</v>
      </c>
      <c r="O501" s="470" t="s">
        <v>281</v>
      </c>
      <c r="P501" s="463" t="str">
        <f>IF(LEFT(B501,5)="09735",
    IF(ISNA(VLOOKUP(Tabla13[[#This Row],[Apoyo]],'LM SAP'!A:G,1,FALSE)),
        "No Disponible",
        IF(VLOOKUP(Tabla13[[#This Row],[Apoyo]],'LM SAP'!A:AD,9,FALSE)="RR",
            "Disponible",
            "Firmas SAP"
        )
    ),
    "CONSULTAR"
)</f>
        <v>Disponible</v>
      </c>
      <c r="Q501" s="460" t="str">
        <f>MID(Tabla13[[#This Row],[Código Indra]],1,13)</f>
        <v>0973545020886</v>
      </c>
      <c r="R501" s="464" t="str">
        <f>IF(ISNA(VLOOKUP(Tabla13[[#This Row],[Código Indra]],#REF!,1,FALSE)),"NO", "SI")</f>
        <v>SI</v>
      </c>
      <c r="S501" s="460" t="str">
        <f>IF(ISNA(VLOOKUP(Tabla13[[#This Row],[Código Indra]],Tabla132[[Código INDRA]:[Nombre]],1,FALSE)),"NO", "SI")</f>
        <v>SI</v>
      </c>
      <c r="T501" s="465" t="s">
        <v>2005</v>
      </c>
      <c r="U501" s="464" t="s">
        <v>256</v>
      </c>
      <c r="V501" s="464" t="str">
        <f>VLOOKUP(Tabla13[[#This Row],[Apoyo]],'LM SAP'!A:I,9,FALSE)</f>
        <v>RR</v>
      </c>
      <c r="W501" s="464" t="s">
        <v>234</v>
      </c>
      <c r="X501" s="466">
        <v>0</v>
      </c>
      <c r="Y501" s="464">
        <f>Tabla13[[#This Row],[ID]]</f>
        <v>536</v>
      </c>
    </row>
    <row r="502" spans="1:25" s="464" customFormat="1" ht="36" x14ac:dyDescent="0.25">
      <c r="A502" s="453">
        <v>535</v>
      </c>
      <c r="B502" s="548" t="s">
        <v>1252</v>
      </c>
      <c r="C502" s="469" t="s">
        <v>2888</v>
      </c>
      <c r="D502" s="456" t="s">
        <v>1108</v>
      </c>
      <c r="E502" s="457" t="s">
        <v>2889</v>
      </c>
      <c r="F502" s="458">
        <v>1</v>
      </c>
      <c r="G502" s="459"/>
      <c r="H502" s="460"/>
      <c r="I502" s="460" t="s">
        <v>2011</v>
      </c>
      <c r="J502" s="460"/>
      <c r="K502" s="460" t="s">
        <v>1411</v>
      </c>
      <c r="L502" s="460">
        <v>60005226</v>
      </c>
      <c r="M502" s="461">
        <v>45622</v>
      </c>
      <c r="N502" s="461">
        <v>45625</v>
      </c>
      <c r="O502" s="470" t="s">
        <v>281</v>
      </c>
      <c r="P502" s="463" t="str">
        <f>IF(LEFT(B502,5)="09735",
    IF(ISNA(VLOOKUP(Tabla13[[#This Row],[Apoyo]],'LM SAP'!A:G,1,FALSE)),
        "No Disponible",
        IF(VLOOKUP(Tabla13[[#This Row],[Apoyo]],'LM SAP'!A:AD,9,FALSE)="RR",
            "Disponible",
            "Firmas SAP"
        )
    ),
    "CONSULTAR"
)</f>
        <v>Disponible</v>
      </c>
      <c r="Q502" s="460" t="str">
        <f>MID(Tabla13[[#This Row],[Código Indra]],1,13)</f>
        <v>0973545020685</v>
      </c>
      <c r="R502" s="464" t="str">
        <f>IF(ISNA(VLOOKUP(Tabla13[[#This Row],[Código Indra]],#REF!,1,FALSE)),"NO", "SI")</f>
        <v>SI</v>
      </c>
      <c r="S502" s="460" t="str">
        <f>IF(ISNA(VLOOKUP(Tabla13[[#This Row],[Código Indra]],Tabla132[[Código INDRA]:[Nombre]],1,FALSE)),"NO", "SI")</f>
        <v>SI</v>
      </c>
      <c r="T502" s="510" t="s">
        <v>2005</v>
      </c>
      <c r="U502" s="464" t="s">
        <v>256</v>
      </c>
      <c r="V502" s="464" t="str">
        <f>VLOOKUP(Tabla13[[#This Row],[Apoyo]],'LM SAP'!A:I,9,FALSE)</f>
        <v>RR</v>
      </c>
      <c r="W502" s="464" t="s">
        <v>234</v>
      </c>
      <c r="X502" s="466">
        <v>0</v>
      </c>
      <c r="Y502" s="464">
        <f>Tabla13[[#This Row],[ID]]</f>
        <v>535</v>
      </c>
    </row>
    <row r="503" spans="1:25" s="464" customFormat="1" ht="36" x14ac:dyDescent="0.25">
      <c r="A503" s="453">
        <v>534</v>
      </c>
      <c r="B503" s="548" t="s">
        <v>1249</v>
      </c>
      <c r="C503" s="469" t="s">
        <v>2890</v>
      </c>
      <c r="D503" s="456" t="s">
        <v>1108</v>
      </c>
      <c r="E503" s="457" t="s">
        <v>1251</v>
      </c>
      <c r="F503" s="458">
        <v>1</v>
      </c>
      <c r="G503" s="459"/>
      <c r="H503" s="460"/>
      <c r="I503" s="460" t="s">
        <v>2011</v>
      </c>
      <c r="J503" s="460"/>
      <c r="K503" s="460" t="s">
        <v>1411</v>
      </c>
      <c r="L503" s="460">
        <v>60005225</v>
      </c>
      <c r="M503" s="461">
        <v>45622</v>
      </c>
      <c r="N503" s="461">
        <v>45636</v>
      </c>
      <c r="O503" s="470"/>
      <c r="P503" s="463" t="str">
        <f>IF(LEFT(B503,5)="09735",
    IF(ISNA(VLOOKUP(Tabla13[[#This Row],[Apoyo]],'LM SAP'!A:G,1,FALSE)),
        "No Disponible",
        IF(VLOOKUP(Tabla13[[#This Row],[Apoyo]],'LM SAP'!A:AD,9,FALSE)="RR",
            "Disponible",
            "Firmas SAP"
        )
    ),
    "CONSULTAR"
)</f>
        <v>Disponible</v>
      </c>
      <c r="Q503" s="460" t="str">
        <f>MID(Tabla13[[#This Row],[Código Indra]],1,13)</f>
        <v>0973545020684</v>
      </c>
      <c r="R503" s="464" t="str">
        <f>IF(ISNA(VLOOKUP(Tabla13[[#This Row],[Código Indra]],#REF!,1,FALSE)),"NO", "SI")</f>
        <v>SI</v>
      </c>
      <c r="S503" s="460" t="str">
        <f>IF(ISNA(VLOOKUP(Tabla13[[#This Row],[Código Indra]],Tabla132[[Código INDRA]:[Nombre]],1,FALSE)),"NO", "SI")</f>
        <v>SI</v>
      </c>
      <c r="T503" s="465" t="s">
        <v>2005</v>
      </c>
      <c r="U503" s="464" t="s">
        <v>256</v>
      </c>
      <c r="V503" s="464" t="str">
        <f>VLOOKUP(Tabla13[[#This Row],[Apoyo]],'LM SAP'!A:I,9,FALSE)</f>
        <v>RR</v>
      </c>
      <c r="W503" s="464" t="s">
        <v>234</v>
      </c>
      <c r="X503" s="466">
        <v>0</v>
      </c>
      <c r="Y503" s="464">
        <f>Tabla13[[#This Row],[ID]]</f>
        <v>534</v>
      </c>
    </row>
    <row r="504" spans="1:25" s="464" customFormat="1" ht="72" x14ac:dyDescent="0.25">
      <c r="A504" s="453">
        <v>533</v>
      </c>
      <c r="B504" s="548" t="s">
        <v>1245</v>
      </c>
      <c r="C504" s="469" t="s">
        <v>2891</v>
      </c>
      <c r="D504" s="456" t="s">
        <v>1108</v>
      </c>
      <c r="E504" s="457" t="s">
        <v>1247</v>
      </c>
      <c r="F504" s="458">
        <v>1</v>
      </c>
      <c r="G504" s="459"/>
      <c r="H504" s="460"/>
      <c r="I504" s="460" t="s">
        <v>2011</v>
      </c>
      <c r="J504" s="460"/>
      <c r="K504" s="460" t="s">
        <v>1411</v>
      </c>
      <c r="L504" s="460">
        <v>60005224</v>
      </c>
      <c r="M504" s="461">
        <v>45622</v>
      </c>
      <c r="N504" s="461">
        <v>45625</v>
      </c>
      <c r="O504" s="476" t="s">
        <v>2892</v>
      </c>
      <c r="P504" s="463" t="str">
        <f>IF(LEFT(B504,5)="09735",
    IF(ISNA(VLOOKUP(Tabla13[[#This Row],[Apoyo]],'LM SAP'!A:G,1,FALSE)),
        "No Disponible",
        IF(VLOOKUP(Tabla13[[#This Row],[Apoyo]],'LM SAP'!A:AD,9,FALSE)="RR",
            "Disponible",
            "Firmas SAP"
        )
    ),
    "CONSULTAR"
)</f>
        <v>No Disponible</v>
      </c>
      <c r="Q504" s="460" t="str">
        <f>MID(Tabla13[[#This Row],[Código Indra]],1,13)</f>
        <v>0973545020683</v>
      </c>
      <c r="R504" s="464" t="str">
        <f>IF(ISNA(VLOOKUP(Tabla13[[#This Row],[Código Indra]],#REF!,1,FALSE)),"NO", "SI")</f>
        <v>SI</v>
      </c>
      <c r="S504" s="460" t="str">
        <f>IF(ISNA(VLOOKUP(Tabla13[[#This Row],[Código Indra]],Tabla132[[Código INDRA]:[Nombre]],1,FALSE)),"NO", "SI")</f>
        <v>SI</v>
      </c>
      <c r="T504" s="510" t="s">
        <v>2005</v>
      </c>
      <c r="U504" s="464" t="s">
        <v>256</v>
      </c>
      <c r="V504" s="464" t="e">
        <f>VLOOKUP(Tabla13[[#This Row],[Apoyo]],'LM SAP'!A:I,9,FALSE)</f>
        <v>#N/A</v>
      </c>
      <c r="W504" s="464" t="s">
        <v>234</v>
      </c>
      <c r="X504" s="466">
        <v>0</v>
      </c>
      <c r="Y504" s="464">
        <f>Tabla13[[#This Row],[ID]]</f>
        <v>533</v>
      </c>
    </row>
    <row r="505" spans="1:25" s="464" customFormat="1" ht="36" x14ac:dyDescent="0.25">
      <c r="A505" s="453">
        <v>532</v>
      </c>
      <c r="B505" s="548" t="s">
        <v>1242</v>
      </c>
      <c r="C505" s="469" t="s">
        <v>2893</v>
      </c>
      <c r="D505" s="456" t="s">
        <v>1117</v>
      </c>
      <c r="E505" s="457" t="s">
        <v>2894</v>
      </c>
      <c r="F505" s="458">
        <v>1</v>
      </c>
      <c r="G505" s="459"/>
      <c r="H505" s="460"/>
      <c r="I505" s="460" t="s">
        <v>2011</v>
      </c>
      <c r="J505" s="460"/>
      <c r="K505" s="460" t="s">
        <v>1411</v>
      </c>
      <c r="L505" s="460">
        <v>60005196</v>
      </c>
      <c r="M505" s="461">
        <v>45622</v>
      </c>
      <c r="N505" s="461">
        <v>45625</v>
      </c>
      <c r="O505" s="470" t="s">
        <v>281</v>
      </c>
      <c r="P505" s="463" t="str">
        <f>IF(LEFT(B505,5)="09735",
    IF(ISNA(VLOOKUP(Tabla13[[#This Row],[Apoyo]],'LM SAP'!A:G,1,FALSE)),
        "No Disponible",
        IF(VLOOKUP(Tabla13[[#This Row],[Apoyo]],'LM SAP'!A:AD,9,FALSE)="RR",
            "Disponible",
            "Firmas SAP"
        )
    ),
    "CONSULTAR"
)</f>
        <v>Disponible</v>
      </c>
      <c r="Q505" s="460" t="str">
        <f>MID(Tabla13[[#This Row],[Código Indra]],1,13)</f>
        <v>0973545020882</v>
      </c>
      <c r="R505" s="464" t="str">
        <f>IF(ISNA(VLOOKUP(Tabla13[[#This Row],[Código Indra]],#REF!,1,FALSE)),"NO", "SI")</f>
        <v>SI</v>
      </c>
      <c r="S505" s="460" t="str">
        <f>IF(ISNA(VLOOKUP(Tabla13[[#This Row],[Código Indra]],Tabla132[[Código INDRA]:[Nombre]],1,FALSE)),"NO", "SI")</f>
        <v>SI</v>
      </c>
      <c r="T505" s="465" t="s">
        <v>2005</v>
      </c>
      <c r="U505" s="464" t="s">
        <v>256</v>
      </c>
      <c r="V505" s="464" t="str">
        <f>VLOOKUP(Tabla13[[#This Row],[Apoyo]],'LM SAP'!A:I,9,FALSE)</f>
        <v>RR</v>
      </c>
      <c r="W505" s="464" t="s">
        <v>234</v>
      </c>
      <c r="X505" s="466">
        <v>0</v>
      </c>
      <c r="Y505" s="464">
        <f>Tabla13[[#This Row],[ID]]</f>
        <v>532</v>
      </c>
    </row>
    <row r="506" spans="1:25" s="464" customFormat="1" ht="36" x14ac:dyDescent="0.25">
      <c r="A506" s="453">
        <v>531</v>
      </c>
      <c r="B506" s="548" t="s">
        <v>1239</v>
      </c>
      <c r="C506" s="469" t="s">
        <v>2895</v>
      </c>
      <c r="D506" s="456" t="s">
        <v>1117</v>
      </c>
      <c r="E506" s="457" t="s">
        <v>2896</v>
      </c>
      <c r="F506" s="458">
        <v>1</v>
      </c>
      <c r="G506" s="459"/>
      <c r="H506" s="460"/>
      <c r="I506" s="460" t="s">
        <v>2011</v>
      </c>
      <c r="J506" s="460"/>
      <c r="K506" s="460" t="s">
        <v>1411</v>
      </c>
      <c r="L506" s="460">
        <v>60005252</v>
      </c>
      <c r="M506" s="461">
        <v>45624</v>
      </c>
      <c r="N506" s="461">
        <v>45635</v>
      </c>
      <c r="O506" s="470" t="s">
        <v>281</v>
      </c>
      <c r="P506" s="463" t="str">
        <f>IF(LEFT(B506,5)="09735",
    IF(ISNA(VLOOKUP(Tabla13[[#This Row],[Apoyo]],'LM SAP'!A:G,1,FALSE)),
        "No Disponible",
        IF(VLOOKUP(Tabla13[[#This Row],[Apoyo]],'LM SAP'!A:AD,9,FALSE)="RR",
            "Disponible",
            "Firmas SAP"
        )
    ),
    "CONSULTAR"
)</f>
        <v>No Disponible</v>
      </c>
      <c r="Q506" s="460" t="str">
        <f>MID(Tabla13[[#This Row],[Código Indra]],1,13)</f>
        <v>0973545020881</v>
      </c>
      <c r="R506" s="464" t="str">
        <f>IF(ISNA(VLOOKUP(Tabla13[[#This Row],[Código Indra]],#REF!,1,FALSE)),"NO", "SI")</f>
        <v>SI</v>
      </c>
      <c r="S506" s="460" t="str">
        <f>IF(ISNA(VLOOKUP(Tabla13[[#This Row],[Código Indra]],Tabla132[[Código INDRA]:[Nombre]],1,FALSE)),"NO", "SI")</f>
        <v>SI</v>
      </c>
      <c r="T506" s="465" t="s">
        <v>2005</v>
      </c>
      <c r="U506" s="464" t="s">
        <v>256</v>
      </c>
      <c r="V506" s="464" t="e">
        <f>VLOOKUP(Tabla13[[#This Row],[Apoyo]],'LM SAP'!A:I,9,FALSE)</f>
        <v>#N/A</v>
      </c>
      <c r="W506" s="464" t="s">
        <v>234</v>
      </c>
      <c r="X506" s="466">
        <v>0</v>
      </c>
      <c r="Y506" s="464">
        <f>Tabla13[[#This Row],[ID]]</f>
        <v>531</v>
      </c>
    </row>
    <row r="507" spans="1:25" s="464" customFormat="1" ht="60" x14ac:dyDescent="0.25">
      <c r="A507" s="453">
        <v>530</v>
      </c>
      <c r="B507" s="548" t="s">
        <v>1236</v>
      </c>
      <c r="C507" s="469" t="s">
        <v>2897</v>
      </c>
      <c r="D507" s="456" t="s">
        <v>1099</v>
      </c>
      <c r="E507" s="457" t="s">
        <v>2898</v>
      </c>
      <c r="F507" s="458">
        <v>1</v>
      </c>
      <c r="G507" s="459"/>
      <c r="H507" s="460"/>
      <c r="I507" s="460" t="s">
        <v>2011</v>
      </c>
      <c r="J507" s="460"/>
      <c r="K507" s="460" t="s">
        <v>1411</v>
      </c>
      <c r="L507" s="460">
        <v>60005223</v>
      </c>
      <c r="M507" s="461">
        <v>45622</v>
      </c>
      <c r="N507" s="461">
        <v>45625</v>
      </c>
      <c r="O507" s="470" t="s">
        <v>1171</v>
      </c>
      <c r="P507" s="463" t="str">
        <f>IF(LEFT(B507,5)="09735",
    IF(ISNA(VLOOKUP(Tabla13[[#This Row],[Apoyo]],'LM SAP'!A:G,1,FALSE)),
        "No Disponible",
        IF(VLOOKUP(Tabla13[[#This Row],[Apoyo]],'LM SAP'!A:AD,9,FALSE)="RR",
            "Disponible",
            "Firmas SAP"
        )
    ),
    "CONSULTAR"
)</f>
        <v>No Disponible</v>
      </c>
      <c r="Q507" s="460" t="str">
        <f>MID(Tabla13[[#This Row],[Código Indra]],1,13)</f>
        <v>0973545020477</v>
      </c>
      <c r="R507" s="464" t="str">
        <f>IF(ISNA(VLOOKUP(Tabla13[[#This Row],[Código Indra]],#REF!,1,FALSE)),"NO", "SI")</f>
        <v>SI</v>
      </c>
      <c r="S507" s="460" t="str">
        <f>IF(ISNA(VLOOKUP(Tabla13[[#This Row],[Código Indra]],Tabla132[[Código INDRA]:[Nombre]],1,FALSE)),"NO", "SI")</f>
        <v>SI</v>
      </c>
      <c r="T507" s="465" t="s">
        <v>2005</v>
      </c>
      <c r="U507" s="511" t="s">
        <v>256</v>
      </c>
      <c r="V507" s="464" t="e">
        <f>VLOOKUP(Tabla13[[#This Row],[Apoyo]],'LM SAP'!A:I,9,FALSE)</f>
        <v>#N/A</v>
      </c>
      <c r="W507" s="464" t="s">
        <v>234</v>
      </c>
      <c r="X507" s="466">
        <v>0</v>
      </c>
      <c r="Y507" s="464">
        <f>Tabla13[[#This Row],[ID]]</f>
        <v>530</v>
      </c>
    </row>
    <row r="508" spans="1:25" s="464" customFormat="1" ht="60" x14ac:dyDescent="0.25">
      <c r="A508" s="453">
        <v>529</v>
      </c>
      <c r="B508" s="548" t="s">
        <v>1233</v>
      </c>
      <c r="C508" s="469" t="s">
        <v>2899</v>
      </c>
      <c r="D508" s="456" t="s">
        <v>1099</v>
      </c>
      <c r="E508" s="457" t="s">
        <v>2900</v>
      </c>
      <c r="F508" s="458">
        <v>1</v>
      </c>
      <c r="G508" s="459"/>
      <c r="H508" s="460"/>
      <c r="I508" s="460" t="s">
        <v>2011</v>
      </c>
      <c r="J508" s="460"/>
      <c r="K508" s="460" t="s">
        <v>1411</v>
      </c>
      <c r="L508" s="460">
        <v>60005118</v>
      </c>
      <c r="M508" s="461">
        <v>45617</v>
      </c>
      <c r="N508" s="461">
        <v>45625</v>
      </c>
      <c r="O508" s="470" t="s">
        <v>1171</v>
      </c>
      <c r="P508" s="463" t="str">
        <f>IF(LEFT(B508,5)="09735",
    IF(ISNA(VLOOKUP(Tabla13[[#This Row],[Apoyo]],'LM SAP'!A:G,1,FALSE)),
        "No Disponible",
        IF(VLOOKUP(Tabla13[[#This Row],[Apoyo]],'LM SAP'!A:AD,9,FALSE)="RR",
            "Disponible",
            "Firmas SAP"
        )
    ),
    "CONSULTAR"
)</f>
        <v>No Disponible</v>
      </c>
      <c r="Q508" s="460" t="str">
        <f>MID(Tabla13[[#This Row],[Código Indra]],1,13)</f>
        <v>0973545020467</v>
      </c>
      <c r="R508" s="464" t="str">
        <f>IF(ISNA(VLOOKUP(Tabla13[[#This Row],[Código Indra]],#REF!,1,FALSE)),"NO", "SI")</f>
        <v>SI</v>
      </c>
      <c r="S508" s="460" t="str">
        <f>IF(ISNA(VLOOKUP(Tabla13[[#This Row],[Código Indra]],Tabla132[[Código INDRA]:[Nombre]],1,FALSE)),"NO", "SI")</f>
        <v>SI</v>
      </c>
      <c r="T508" s="465" t="s">
        <v>2005</v>
      </c>
      <c r="U508" s="464" t="s">
        <v>256</v>
      </c>
      <c r="V508" s="464" t="e">
        <f>VLOOKUP(Tabla13[[#This Row],[Apoyo]],'LM SAP'!A:I,9,FALSE)</f>
        <v>#N/A</v>
      </c>
      <c r="W508" s="464" t="s">
        <v>234</v>
      </c>
      <c r="X508" s="466">
        <v>0</v>
      </c>
      <c r="Y508" s="464">
        <f>Tabla13[[#This Row],[ID]]</f>
        <v>529</v>
      </c>
    </row>
    <row r="509" spans="1:25" s="464" customFormat="1" ht="60" x14ac:dyDescent="0.25">
      <c r="A509" s="453">
        <v>528</v>
      </c>
      <c r="B509" s="548" t="s">
        <v>1230</v>
      </c>
      <c r="C509" s="469" t="s">
        <v>2901</v>
      </c>
      <c r="D509" s="456" t="s">
        <v>1099</v>
      </c>
      <c r="E509" s="457" t="s">
        <v>2902</v>
      </c>
      <c r="F509" s="458">
        <v>1</v>
      </c>
      <c r="G509" s="459"/>
      <c r="H509" s="460"/>
      <c r="I509" s="460" t="s">
        <v>2011</v>
      </c>
      <c r="J509" s="460"/>
      <c r="K509" s="460" t="s">
        <v>1411</v>
      </c>
      <c r="L509" s="460">
        <v>60005222</v>
      </c>
      <c r="M509" s="461">
        <v>45622</v>
      </c>
      <c r="N509" s="461">
        <v>45625</v>
      </c>
      <c r="O509" s="470" t="s">
        <v>1171</v>
      </c>
      <c r="P509" s="463" t="str">
        <f>IF(LEFT(B509,5)="09735",
    IF(ISNA(VLOOKUP(Tabla13[[#This Row],[Apoyo]],'LM SAP'!A:G,1,FALSE)),
        "No Disponible",
        IF(VLOOKUP(Tabla13[[#This Row],[Apoyo]],'LM SAP'!A:AD,9,FALSE)="RR",
            "Disponible",
            "Firmas SAP"
        )
    ),
    "CONSULTAR"
)</f>
        <v>No Disponible</v>
      </c>
      <c r="Q509" s="460" t="str">
        <f>MID(Tabla13[[#This Row],[Código Indra]],1,13)</f>
        <v>0973545020457</v>
      </c>
      <c r="R509" s="464" t="str">
        <f>IF(ISNA(VLOOKUP(Tabla13[[#This Row],[Código Indra]],#REF!,1,FALSE)),"NO", "SI")</f>
        <v>SI</v>
      </c>
      <c r="S509" s="460" t="str">
        <f>IF(ISNA(VLOOKUP(Tabla13[[#This Row],[Código Indra]],Tabla132[[Código INDRA]:[Nombre]],1,FALSE)),"NO", "SI")</f>
        <v>SI</v>
      </c>
      <c r="T509" s="465" t="s">
        <v>2005</v>
      </c>
      <c r="U509" s="511" t="s">
        <v>256</v>
      </c>
      <c r="V509" s="464" t="e">
        <f>VLOOKUP(Tabla13[[#This Row],[Apoyo]],'LM SAP'!A:I,9,FALSE)</f>
        <v>#N/A</v>
      </c>
      <c r="W509" s="464" t="s">
        <v>234</v>
      </c>
      <c r="X509" s="466">
        <v>0</v>
      </c>
      <c r="Y509" s="464">
        <f>Tabla13[[#This Row],[ID]]</f>
        <v>528</v>
      </c>
    </row>
    <row r="510" spans="1:25" s="464" customFormat="1" ht="60" x14ac:dyDescent="0.25">
      <c r="A510" s="453">
        <v>527</v>
      </c>
      <c r="B510" s="548" t="s">
        <v>1227</v>
      </c>
      <c r="C510" s="469" t="s">
        <v>2903</v>
      </c>
      <c r="D510" s="456" t="s">
        <v>1099</v>
      </c>
      <c r="E510" s="457" t="s">
        <v>2904</v>
      </c>
      <c r="F510" s="458">
        <v>1</v>
      </c>
      <c r="G510" s="459"/>
      <c r="H510" s="460"/>
      <c r="I510" s="460" t="s">
        <v>2011</v>
      </c>
      <c r="J510" s="460"/>
      <c r="K510" s="460" t="s">
        <v>1411</v>
      </c>
      <c r="L510" s="460">
        <v>60005221</v>
      </c>
      <c r="M510" s="461">
        <v>45622</v>
      </c>
      <c r="N510" s="461">
        <v>45625</v>
      </c>
      <c r="O510" s="470" t="s">
        <v>1171</v>
      </c>
      <c r="P510" s="463" t="str">
        <f>IF(LEFT(B510,5)="09735",
    IF(ISNA(VLOOKUP(Tabla13[[#This Row],[Apoyo]],'LM SAP'!A:G,1,FALSE)),
        "No Disponible",
        IF(VLOOKUP(Tabla13[[#This Row],[Apoyo]],'LM SAP'!A:AD,9,FALSE)="RR",
            "Disponible",
            "Firmas SAP"
        )
    ),
    "CONSULTAR"
)</f>
        <v>No Disponible</v>
      </c>
      <c r="Q510" s="460" t="str">
        <f>MID(Tabla13[[#This Row],[Código Indra]],1,13)</f>
        <v>0973545020455</v>
      </c>
      <c r="R510" s="464" t="str">
        <f>IF(ISNA(VLOOKUP(Tabla13[[#This Row],[Código Indra]],#REF!,1,FALSE)),"NO", "SI")</f>
        <v>SI</v>
      </c>
      <c r="S510" s="460" t="str">
        <f>IF(ISNA(VLOOKUP(Tabla13[[#This Row],[Código Indra]],Tabla132[[Código INDRA]:[Nombre]],1,FALSE)),"NO", "SI")</f>
        <v>SI</v>
      </c>
      <c r="T510" s="465" t="s">
        <v>2005</v>
      </c>
      <c r="U510" s="464" t="s">
        <v>256</v>
      </c>
      <c r="V510" s="464" t="e">
        <f>VLOOKUP(Tabla13[[#This Row],[Apoyo]],'LM SAP'!A:I,9,FALSE)</f>
        <v>#N/A</v>
      </c>
      <c r="W510" s="464" t="s">
        <v>234</v>
      </c>
      <c r="X510" s="466">
        <v>0</v>
      </c>
      <c r="Y510" s="464">
        <f>Tabla13[[#This Row],[ID]]</f>
        <v>527</v>
      </c>
    </row>
    <row r="511" spans="1:25" s="464" customFormat="1" ht="60" x14ac:dyDescent="0.25">
      <c r="A511" s="453">
        <v>526</v>
      </c>
      <c r="B511" s="548" t="s">
        <v>1224</v>
      </c>
      <c r="C511" s="469" t="s">
        <v>2905</v>
      </c>
      <c r="D511" s="456" t="s">
        <v>1099</v>
      </c>
      <c r="E511" s="457" t="s">
        <v>2906</v>
      </c>
      <c r="F511" s="458">
        <v>1</v>
      </c>
      <c r="G511" s="459"/>
      <c r="H511" s="460"/>
      <c r="I511" s="460" t="s">
        <v>2011</v>
      </c>
      <c r="J511" s="460"/>
      <c r="K511" s="460" t="s">
        <v>1411</v>
      </c>
      <c r="L511" s="460">
        <v>60005220</v>
      </c>
      <c r="M511" s="461">
        <v>45622</v>
      </c>
      <c r="N511" s="461">
        <v>45625</v>
      </c>
      <c r="O511" s="470" t="s">
        <v>1171</v>
      </c>
      <c r="P511" s="463" t="str">
        <f>IF(LEFT(B511,5)="09735",
    IF(ISNA(VLOOKUP(Tabla13[[#This Row],[Apoyo]],'LM SAP'!A:G,1,FALSE)),
        "No Disponible",
        IF(VLOOKUP(Tabla13[[#This Row],[Apoyo]],'LM SAP'!A:AD,9,FALSE)="RR",
            "Disponible",
            "Firmas SAP"
        )
    ),
    "CONSULTAR"
)</f>
        <v>No Disponible</v>
      </c>
      <c r="Q511" s="460" t="str">
        <f>MID(Tabla13[[#This Row],[Código Indra]],1,13)</f>
        <v>0973545020447</v>
      </c>
      <c r="R511" s="464" t="str">
        <f>IF(ISNA(VLOOKUP(Tabla13[[#This Row],[Código Indra]],#REF!,1,FALSE)),"NO", "SI")</f>
        <v>SI</v>
      </c>
      <c r="S511" s="460" t="str">
        <f>IF(ISNA(VLOOKUP(Tabla13[[#This Row],[Código Indra]],Tabla132[[Código INDRA]:[Nombre]],1,FALSE)),"NO", "SI")</f>
        <v>SI</v>
      </c>
      <c r="T511" s="465" t="s">
        <v>2005</v>
      </c>
      <c r="U511" s="464" t="s">
        <v>256</v>
      </c>
      <c r="V511" s="464" t="e">
        <f>VLOOKUP(Tabla13[[#This Row],[Apoyo]],'LM SAP'!A:I,9,FALSE)</f>
        <v>#N/A</v>
      </c>
      <c r="W511" s="464" t="s">
        <v>234</v>
      </c>
      <c r="X511" s="466">
        <v>0</v>
      </c>
      <c r="Y511" s="464">
        <f>Tabla13[[#This Row],[ID]]</f>
        <v>526</v>
      </c>
    </row>
    <row r="512" spans="1:25" s="464" customFormat="1" ht="60" x14ac:dyDescent="0.25">
      <c r="A512" s="453">
        <v>525</v>
      </c>
      <c r="B512" s="548" t="s">
        <v>1221</v>
      </c>
      <c r="C512" s="469" t="s">
        <v>2907</v>
      </c>
      <c r="D512" s="456" t="s">
        <v>1099</v>
      </c>
      <c r="E512" s="457" t="s">
        <v>2908</v>
      </c>
      <c r="F512" s="458">
        <v>1</v>
      </c>
      <c r="G512" s="459"/>
      <c r="H512" s="460"/>
      <c r="I512" s="460" t="s">
        <v>2011</v>
      </c>
      <c r="J512" s="460"/>
      <c r="K512" s="460" t="s">
        <v>1411</v>
      </c>
      <c r="L512" s="460">
        <v>60005219</v>
      </c>
      <c r="M512" s="461">
        <v>45622</v>
      </c>
      <c r="N512" s="461">
        <v>45628</v>
      </c>
      <c r="O512" s="470" t="s">
        <v>1171</v>
      </c>
      <c r="P512" s="463" t="str">
        <f>IF(LEFT(B512,5)="09735",
    IF(ISNA(VLOOKUP(Tabla13[[#This Row],[Apoyo]],'LM SAP'!A:G,1,FALSE)),
        "No Disponible",
        IF(VLOOKUP(Tabla13[[#This Row],[Apoyo]],'LM SAP'!A:AD,9,FALSE)="RR",
            "Disponible",
            "Firmas SAP"
        )
    ),
    "CONSULTAR"
)</f>
        <v>No Disponible</v>
      </c>
      <c r="Q512" s="460" t="str">
        <f>MID(Tabla13[[#This Row],[Código Indra]],1,13)</f>
        <v>0973545020445</v>
      </c>
      <c r="R512" s="464" t="str">
        <f>IF(ISNA(VLOOKUP(Tabla13[[#This Row],[Código Indra]],#REF!,1,FALSE)),"NO", "SI")</f>
        <v>SI</v>
      </c>
      <c r="S512" s="460" t="str">
        <f>IF(ISNA(VLOOKUP(Tabla13[[#This Row],[Código Indra]],Tabla132[[Código INDRA]:[Nombre]],1,FALSE)),"NO", "SI")</f>
        <v>SI</v>
      </c>
      <c r="T512" s="465" t="s">
        <v>2005</v>
      </c>
      <c r="U512" s="464" t="s">
        <v>256</v>
      </c>
      <c r="V512" s="464" t="e">
        <f>VLOOKUP(Tabla13[[#This Row],[Apoyo]],'LM SAP'!A:I,9,FALSE)</f>
        <v>#N/A</v>
      </c>
      <c r="W512" s="464" t="s">
        <v>234</v>
      </c>
      <c r="X512" s="466">
        <v>0</v>
      </c>
      <c r="Y512" s="464">
        <f>Tabla13[[#This Row],[ID]]</f>
        <v>525</v>
      </c>
    </row>
    <row r="513" spans="1:25" s="464" customFormat="1" ht="36" x14ac:dyDescent="0.25">
      <c r="A513" s="453">
        <v>524</v>
      </c>
      <c r="B513" s="548" t="s">
        <v>1218</v>
      </c>
      <c r="C513" s="469" t="s">
        <v>2909</v>
      </c>
      <c r="D513" s="456" t="s">
        <v>1103</v>
      </c>
      <c r="E513" s="457" t="s">
        <v>2910</v>
      </c>
      <c r="F513" s="458">
        <v>1</v>
      </c>
      <c r="G513" s="459"/>
      <c r="H513" s="460"/>
      <c r="I513" s="460" t="s">
        <v>2011</v>
      </c>
      <c r="J513" s="460"/>
      <c r="K513" s="460" t="s">
        <v>1411</v>
      </c>
      <c r="L513" s="460">
        <v>60005251</v>
      </c>
      <c r="M513" s="461">
        <v>45624</v>
      </c>
      <c r="N513" s="461">
        <v>45630</v>
      </c>
      <c r="O513" s="470" t="s">
        <v>281</v>
      </c>
      <c r="P513" s="463" t="str">
        <f>IF(LEFT(B513,5)="09735",
    IF(ISNA(VLOOKUP(Tabla13[[#This Row],[Apoyo]],'LM SAP'!A:G,1,FALSE)),
        "No Disponible",
        IF(VLOOKUP(Tabla13[[#This Row],[Apoyo]],'LM SAP'!A:AD,9,FALSE)="RR",
            "Disponible",
            "Firmas SAP"
        )
    ),
    "CONSULTAR"
)</f>
        <v>No Disponible</v>
      </c>
      <c r="Q513" s="460" t="str">
        <f>MID(Tabla13[[#This Row],[Código Indra]],1,13)</f>
        <v>0973545020540</v>
      </c>
      <c r="R513" s="464" t="str">
        <f>IF(ISNA(VLOOKUP(Tabla13[[#This Row],[Código Indra]],#REF!,1,FALSE)),"NO", "SI")</f>
        <v>SI</v>
      </c>
      <c r="S513" s="460" t="str">
        <f>IF(ISNA(VLOOKUP(Tabla13[[#This Row],[Código Indra]],Tabla132[[Código INDRA]:[Nombre]],1,FALSE)),"NO", "SI")</f>
        <v>SI</v>
      </c>
      <c r="T513" s="465" t="s">
        <v>2005</v>
      </c>
      <c r="U513" s="464" t="s">
        <v>256</v>
      </c>
      <c r="V513" s="464" t="e">
        <f>VLOOKUP(Tabla13[[#This Row],[Apoyo]],'LM SAP'!A:I,9,FALSE)</f>
        <v>#N/A</v>
      </c>
      <c r="W513" s="464" t="s">
        <v>234</v>
      </c>
      <c r="X513" s="466">
        <v>0</v>
      </c>
      <c r="Y513" s="464">
        <f>Tabla13[[#This Row],[ID]]</f>
        <v>524</v>
      </c>
    </row>
    <row r="514" spans="1:25" s="464" customFormat="1" ht="60" x14ac:dyDescent="0.25">
      <c r="A514" s="453">
        <v>523</v>
      </c>
      <c r="B514" s="548" t="s">
        <v>1215</v>
      </c>
      <c r="C514" s="469" t="s">
        <v>2911</v>
      </c>
      <c r="D514" s="456" t="s">
        <v>1099</v>
      </c>
      <c r="E514" s="457" t="s">
        <v>2912</v>
      </c>
      <c r="F514" s="458">
        <v>1</v>
      </c>
      <c r="G514" s="459"/>
      <c r="H514" s="460"/>
      <c r="I514" s="460" t="s">
        <v>2011</v>
      </c>
      <c r="J514" s="460"/>
      <c r="K514" s="460" t="s">
        <v>1411</v>
      </c>
      <c r="L514" s="460">
        <v>60005218</v>
      </c>
      <c r="M514" s="461">
        <v>45622</v>
      </c>
      <c r="N514" s="461">
        <v>45624</v>
      </c>
      <c r="O514" s="470" t="s">
        <v>1171</v>
      </c>
      <c r="P514" s="463" t="str">
        <f>IF(LEFT(B514,5)="09735",
    IF(ISNA(VLOOKUP(Tabla13[[#This Row],[Apoyo]],'LM SAP'!A:G,1,FALSE)),
        "No Disponible",
        IF(VLOOKUP(Tabla13[[#This Row],[Apoyo]],'LM SAP'!A:AD,9,FALSE)="RR",
            "Disponible",
            "Firmas SAP"
        )
    ),
    "CONSULTAR"
)</f>
        <v>No Disponible</v>
      </c>
      <c r="Q514" s="460" t="str">
        <f>MID(Tabla13[[#This Row],[Código Indra]],1,13)</f>
        <v>0973545020437</v>
      </c>
      <c r="R514" s="464" t="str">
        <f>IF(ISNA(VLOOKUP(Tabla13[[#This Row],[Código Indra]],#REF!,1,FALSE)),"NO", "SI")</f>
        <v>SI</v>
      </c>
      <c r="S514" s="460" t="str">
        <f>IF(ISNA(VLOOKUP(Tabla13[[#This Row],[Código Indra]],Tabla132[[Código INDRA]:[Nombre]],1,FALSE)),"NO", "SI")</f>
        <v>SI</v>
      </c>
      <c r="T514" s="465" t="s">
        <v>2005</v>
      </c>
      <c r="U514" s="464" t="s">
        <v>256</v>
      </c>
      <c r="V514" s="464" t="e">
        <f>VLOOKUP(Tabla13[[#This Row],[Apoyo]],'LM SAP'!A:I,9,FALSE)</f>
        <v>#N/A</v>
      </c>
      <c r="W514" s="464" t="s">
        <v>234</v>
      </c>
      <c r="X514" s="466">
        <v>0</v>
      </c>
      <c r="Y514" s="464">
        <f>Tabla13[[#This Row],[ID]]</f>
        <v>523</v>
      </c>
    </row>
    <row r="515" spans="1:25" s="464" customFormat="1" ht="60" x14ac:dyDescent="0.25">
      <c r="A515" s="453">
        <v>522</v>
      </c>
      <c r="B515" s="548" t="s">
        <v>1212</v>
      </c>
      <c r="C515" s="469" t="s">
        <v>2913</v>
      </c>
      <c r="D515" s="456" t="s">
        <v>1099</v>
      </c>
      <c r="E515" s="457" t="s">
        <v>2914</v>
      </c>
      <c r="F515" s="458">
        <v>1</v>
      </c>
      <c r="G515" s="459"/>
      <c r="H515" s="460"/>
      <c r="I515" s="460" t="s">
        <v>2011</v>
      </c>
      <c r="J515" s="460"/>
      <c r="K515" s="460" t="s">
        <v>1411</v>
      </c>
      <c r="L515" s="460">
        <v>60005217</v>
      </c>
      <c r="M515" s="461">
        <v>45622</v>
      </c>
      <c r="N515" s="461">
        <v>45625</v>
      </c>
      <c r="O515" s="470" t="s">
        <v>1171</v>
      </c>
      <c r="P515" s="463" t="str">
        <f>IF(LEFT(B515,5)="09735",
    IF(ISNA(VLOOKUP(Tabla13[[#This Row],[Apoyo]],'LM SAP'!A:G,1,FALSE)),
        "No Disponible",
        IF(VLOOKUP(Tabla13[[#This Row],[Apoyo]],'LM SAP'!A:AD,9,FALSE)="RR",
            "Disponible",
            "Firmas SAP"
        )
    ),
    "CONSULTAR"
)</f>
        <v>No Disponible</v>
      </c>
      <c r="Q515" s="460" t="str">
        <f>MID(Tabla13[[#This Row],[Código Indra]],1,13)</f>
        <v>0973545020435</v>
      </c>
      <c r="R515" s="464" t="str">
        <f>IF(ISNA(VLOOKUP(Tabla13[[#This Row],[Código Indra]],#REF!,1,FALSE)),"NO", "SI")</f>
        <v>SI</v>
      </c>
      <c r="S515" s="460" t="str">
        <f>IF(ISNA(VLOOKUP(Tabla13[[#This Row],[Código Indra]],Tabla132[[Código INDRA]:[Nombre]],1,FALSE)),"NO", "SI")</f>
        <v>SI</v>
      </c>
      <c r="T515" s="465" t="s">
        <v>2005</v>
      </c>
      <c r="U515" s="464" t="s">
        <v>256</v>
      </c>
      <c r="V515" s="464" t="e">
        <f>VLOOKUP(Tabla13[[#This Row],[Apoyo]],'LM SAP'!A:I,9,FALSE)</f>
        <v>#N/A</v>
      </c>
      <c r="W515" s="464" t="s">
        <v>234</v>
      </c>
      <c r="X515" s="466">
        <v>0</v>
      </c>
      <c r="Y515" s="464">
        <f>Tabla13[[#This Row],[ID]]</f>
        <v>522</v>
      </c>
    </row>
    <row r="516" spans="1:25" s="464" customFormat="1" ht="60" x14ac:dyDescent="0.25">
      <c r="A516" s="453">
        <v>521</v>
      </c>
      <c r="B516" s="548" t="s">
        <v>1209</v>
      </c>
      <c r="C516" s="469" t="s">
        <v>2915</v>
      </c>
      <c r="D516" s="456" t="s">
        <v>1099</v>
      </c>
      <c r="E516" s="457" t="s">
        <v>2916</v>
      </c>
      <c r="F516" s="458">
        <v>1</v>
      </c>
      <c r="G516" s="459"/>
      <c r="H516" s="460"/>
      <c r="I516" s="460" t="s">
        <v>2011</v>
      </c>
      <c r="J516" s="460"/>
      <c r="K516" s="460" t="s">
        <v>1411</v>
      </c>
      <c r="L516" s="460">
        <v>60005216</v>
      </c>
      <c r="M516" s="461">
        <v>45622</v>
      </c>
      <c r="N516" s="461">
        <v>45625</v>
      </c>
      <c r="O516" s="470" t="s">
        <v>1171</v>
      </c>
      <c r="P516" s="463" t="str">
        <f>IF(LEFT(B516,5)="09735",
    IF(ISNA(VLOOKUP(Tabla13[[#This Row],[Apoyo]],'LM SAP'!A:G,1,FALSE)),
        "No Disponible",
        IF(VLOOKUP(Tabla13[[#This Row],[Apoyo]],'LM SAP'!A:AD,9,FALSE)="RR",
            "Disponible",
            "Firmas SAP"
        )
    ),
    "CONSULTAR"
)</f>
        <v>No Disponible</v>
      </c>
      <c r="Q516" s="460" t="str">
        <f>MID(Tabla13[[#This Row],[Código Indra]],1,13)</f>
        <v>0973545020434</v>
      </c>
      <c r="R516" s="464" t="str">
        <f>IF(ISNA(VLOOKUP(Tabla13[[#This Row],[Código Indra]],#REF!,1,FALSE)),"NO", "SI")</f>
        <v>SI</v>
      </c>
      <c r="S516" s="460" t="str">
        <f>IF(ISNA(VLOOKUP(Tabla13[[#This Row],[Código Indra]],Tabla132[[Código INDRA]:[Nombre]],1,FALSE)),"NO", "SI")</f>
        <v>SI</v>
      </c>
      <c r="T516" s="465" t="s">
        <v>2005</v>
      </c>
      <c r="U516" s="464" t="s">
        <v>256</v>
      </c>
      <c r="V516" s="464" t="e">
        <f>VLOOKUP(Tabla13[[#This Row],[Apoyo]],'LM SAP'!A:I,9,FALSE)</f>
        <v>#N/A</v>
      </c>
      <c r="W516" s="464" t="s">
        <v>234</v>
      </c>
      <c r="X516" s="466">
        <v>0</v>
      </c>
      <c r="Y516" s="464">
        <f>Tabla13[[#This Row],[ID]]</f>
        <v>521</v>
      </c>
    </row>
    <row r="517" spans="1:25" s="464" customFormat="1" ht="60" x14ac:dyDescent="0.25">
      <c r="A517" s="453">
        <v>520</v>
      </c>
      <c r="B517" s="548" t="s">
        <v>1206</v>
      </c>
      <c r="C517" s="469" t="s">
        <v>2917</v>
      </c>
      <c r="D517" s="456" t="s">
        <v>1099</v>
      </c>
      <c r="E517" s="457" t="s">
        <v>2918</v>
      </c>
      <c r="F517" s="458">
        <v>1</v>
      </c>
      <c r="G517" s="459"/>
      <c r="H517" s="460"/>
      <c r="I517" s="460" t="s">
        <v>2011</v>
      </c>
      <c r="J517" s="460"/>
      <c r="K517" s="460" t="s">
        <v>1411</v>
      </c>
      <c r="L517" s="460">
        <v>60005215</v>
      </c>
      <c r="M517" s="461">
        <v>45622</v>
      </c>
      <c r="N517" s="461">
        <v>45625</v>
      </c>
      <c r="O517" s="470" t="s">
        <v>1171</v>
      </c>
      <c r="P517" s="463" t="str">
        <f>IF(LEFT(B517,5)="09735",
    IF(ISNA(VLOOKUP(Tabla13[[#This Row],[Apoyo]],'LM SAP'!A:G,1,FALSE)),
        "No Disponible",
        IF(VLOOKUP(Tabla13[[#This Row],[Apoyo]],'LM SAP'!A:AD,9,FALSE)="RR",
            "Disponible",
            "Firmas SAP"
        )
    ),
    "CONSULTAR"
)</f>
        <v>No Disponible</v>
      </c>
      <c r="Q517" s="460" t="str">
        <f>MID(Tabla13[[#This Row],[Código Indra]],1,13)</f>
        <v>0973545020433</v>
      </c>
      <c r="R517" s="464" t="str">
        <f>IF(ISNA(VLOOKUP(Tabla13[[#This Row],[Código Indra]],#REF!,1,FALSE)),"NO", "SI")</f>
        <v>SI</v>
      </c>
      <c r="S517" s="460" t="str">
        <f>IF(ISNA(VLOOKUP(Tabla13[[#This Row],[Código Indra]],Tabla132[[Código INDRA]:[Nombre]],1,FALSE)),"NO", "SI")</f>
        <v>SI</v>
      </c>
      <c r="T517" s="465" t="s">
        <v>2005</v>
      </c>
      <c r="U517" s="464" t="s">
        <v>256</v>
      </c>
      <c r="V517" s="464" t="e">
        <f>VLOOKUP(Tabla13[[#This Row],[Apoyo]],'LM SAP'!A:I,9,FALSE)</f>
        <v>#N/A</v>
      </c>
      <c r="W517" s="464" t="s">
        <v>234</v>
      </c>
      <c r="X517" s="466">
        <v>0</v>
      </c>
      <c r="Y517" s="464">
        <f>Tabla13[[#This Row],[ID]]</f>
        <v>520</v>
      </c>
    </row>
    <row r="518" spans="1:25" s="464" customFormat="1" ht="36" x14ac:dyDescent="0.25">
      <c r="A518" s="453">
        <v>519</v>
      </c>
      <c r="B518" s="548" t="s">
        <v>1203</v>
      </c>
      <c r="C518" s="469" t="s">
        <v>2919</v>
      </c>
      <c r="D518" s="456" t="s">
        <v>1103</v>
      </c>
      <c r="E518" s="457" t="s">
        <v>2920</v>
      </c>
      <c r="F518" s="458">
        <v>1</v>
      </c>
      <c r="G518" s="459"/>
      <c r="H518" s="460"/>
      <c r="I518" s="460" t="s">
        <v>2011</v>
      </c>
      <c r="J518" s="460"/>
      <c r="K518" s="460" t="s">
        <v>1411</v>
      </c>
      <c r="L518" s="460">
        <v>60005194</v>
      </c>
      <c r="M518" s="461">
        <v>45622</v>
      </c>
      <c r="N518" s="461">
        <v>45631</v>
      </c>
      <c r="O518" s="470" t="s">
        <v>711</v>
      </c>
      <c r="P518" s="463" t="str">
        <f>IF(LEFT(B518,5)="09735",
    IF(ISNA(VLOOKUP(Tabla13[[#This Row],[Apoyo]],'LM SAP'!A:G,1,FALSE)),
        "No Disponible",
        IF(VLOOKUP(Tabla13[[#This Row],[Apoyo]],'LM SAP'!A:AD,9,FALSE)="RR",
            "Disponible",
            "Firmas SAP"
        )
    ),
    "CONSULTAR"
)</f>
        <v>No Disponible</v>
      </c>
      <c r="Q518" s="460" t="str">
        <f>MID(Tabla13[[#This Row],[Código Indra]],1,13)</f>
        <v>0973545020530</v>
      </c>
      <c r="R518" s="464" t="str">
        <f>IF(ISNA(VLOOKUP(Tabla13[[#This Row],[Código Indra]],#REF!,1,FALSE)),"NO", "SI")</f>
        <v>SI</v>
      </c>
      <c r="S518" s="460" t="str">
        <f>IF(ISNA(VLOOKUP(Tabla13[[#This Row],[Código Indra]],Tabla132[[Código INDRA]:[Nombre]],1,FALSE)),"NO", "SI")</f>
        <v>SI</v>
      </c>
      <c r="T518" s="465" t="s">
        <v>2005</v>
      </c>
      <c r="U518" s="464" t="s">
        <v>256</v>
      </c>
      <c r="V518" s="464" t="e">
        <f>VLOOKUP(Tabla13[[#This Row],[Apoyo]],'LM SAP'!A:I,9,FALSE)</f>
        <v>#N/A</v>
      </c>
      <c r="W518" s="464" t="s">
        <v>234</v>
      </c>
      <c r="X518" s="466">
        <v>0</v>
      </c>
      <c r="Y518" s="464">
        <f>Tabla13[[#This Row],[ID]]</f>
        <v>519</v>
      </c>
    </row>
    <row r="519" spans="1:25" s="464" customFormat="1" ht="24" x14ac:dyDescent="0.25">
      <c r="A519" s="453">
        <v>518</v>
      </c>
      <c r="B519" s="548" t="s">
        <v>1200</v>
      </c>
      <c r="C519" s="469" t="s">
        <v>2921</v>
      </c>
      <c r="D519" s="456">
        <v>0</v>
      </c>
      <c r="E519" s="457" t="s">
        <v>1202</v>
      </c>
      <c r="F519" s="458">
        <v>1</v>
      </c>
      <c r="G519" s="459"/>
      <c r="H519" s="460"/>
      <c r="I519" s="460" t="s">
        <v>276</v>
      </c>
      <c r="J519" s="460"/>
      <c r="K519" s="460" t="s">
        <v>1411</v>
      </c>
      <c r="L519" s="460">
        <v>60005084</v>
      </c>
      <c r="M519" s="461">
        <v>45616</v>
      </c>
      <c r="N519" s="461">
        <v>45628</v>
      </c>
      <c r="O519" s="470" t="s">
        <v>281</v>
      </c>
      <c r="P519" s="463" t="str">
        <f>IF(LEFT(B519,5)="09735",
    IF(ISNA(VLOOKUP(Tabla13[[#This Row],[Apoyo]],'LM SAP'!A:G,1,FALSE)),
        "No Disponible",
        IF(VLOOKUP(Tabla13[[#This Row],[Apoyo]],'LM SAP'!A:AD,9,FALSE)="RR",
            "Disponible",
            "Firmas SAP"
        )
    ),
    "CONSULTAR"
)</f>
        <v>No Disponible</v>
      </c>
      <c r="Q519" s="460" t="str">
        <f>MID(Tabla13[[#This Row],[Código Indra]],1,13)</f>
        <v>0973545092900</v>
      </c>
      <c r="R519" s="464" t="str">
        <f>IF(ISNA(VLOOKUP(Tabla13[[#This Row],[Código Indra]],#REF!,1,FALSE)),"NO", "SI")</f>
        <v>SI</v>
      </c>
      <c r="S519" s="460" t="str">
        <f>IF(ISNA(VLOOKUP(Tabla13[[#This Row],[Código Indra]],Tabla132[[Código INDRA]:[Nombre]],1,FALSE)),"NO", "SI")</f>
        <v>NO</v>
      </c>
      <c r="T519" s="465" t="s">
        <v>2005</v>
      </c>
      <c r="U519" s="464" t="s">
        <v>256</v>
      </c>
      <c r="V519" s="464" t="e">
        <f>VLOOKUP(Tabla13[[#This Row],[Apoyo]],'LM SAP'!A:I,9,FALSE)</f>
        <v>#N/A</v>
      </c>
      <c r="W519" s="464" t="s">
        <v>234</v>
      </c>
      <c r="X519" s="466">
        <v>0</v>
      </c>
      <c r="Y519" s="464">
        <f>Tabla13[[#This Row],[ID]]</f>
        <v>518</v>
      </c>
    </row>
    <row r="520" spans="1:25" s="464" customFormat="1" ht="60" x14ac:dyDescent="0.25">
      <c r="A520" s="453">
        <v>517</v>
      </c>
      <c r="B520" s="548" t="s">
        <v>1197</v>
      </c>
      <c r="C520" s="469" t="s">
        <v>2922</v>
      </c>
      <c r="D520" s="456" t="s">
        <v>1099</v>
      </c>
      <c r="E520" s="457" t="s">
        <v>2923</v>
      </c>
      <c r="F520" s="458">
        <v>1</v>
      </c>
      <c r="G520" s="459"/>
      <c r="H520" s="460"/>
      <c r="I520" s="460" t="s">
        <v>2011</v>
      </c>
      <c r="J520" s="460"/>
      <c r="K520" s="460" t="s">
        <v>1411</v>
      </c>
      <c r="L520" s="460">
        <v>60005214</v>
      </c>
      <c r="M520" s="461">
        <v>45622</v>
      </c>
      <c r="N520" s="461">
        <v>45624</v>
      </c>
      <c r="O520" s="470" t="s">
        <v>1171</v>
      </c>
      <c r="P520" s="463" t="str">
        <f>IF(LEFT(B520,5)="09735",
    IF(ISNA(VLOOKUP(Tabla13[[#This Row],[Apoyo]],'LM SAP'!A:G,1,FALSE)),
        "No Disponible",
        IF(VLOOKUP(Tabla13[[#This Row],[Apoyo]],'LM SAP'!A:AD,9,FALSE)="RR",
            "Disponible",
            "Firmas SAP"
        )
    ),
    "CONSULTAR"
)</f>
        <v>No Disponible</v>
      </c>
      <c r="Q520" s="460" t="str">
        <f>MID(Tabla13[[#This Row],[Código Indra]],1,13)</f>
        <v>0973545020427</v>
      </c>
      <c r="R520" s="464" t="str">
        <f>IF(ISNA(VLOOKUP(Tabla13[[#This Row],[Código Indra]],#REF!,1,FALSE)),"NO", "SI")</f>
        <v>SI</v>
      </c>
      <c r="S520" s="460" t="str">
        <f>IF(ISNA(VLOOKUP(Tabla13[[#This Row],[Código Indra]],Tabla132[[Código INDRA]:[Nombre]],1,FALSE)),"NO", "SI")</f>
        <v>SI</v>
      </c>
      <c r="T520" s="465" t="s">
        <v>2005</v>
      </c>
      <c r="U520" s="464" t="s">
        <v>256</v>
      </c>
      <c r="V520" s="464" t="e">
        <f>VLOOKUP(Tabla13[[#This Row],[Apoyo]],'LM SAP'!A:I,9,FALSE)</f>
        <v>#N/A</v>
      </c>
      <c r="W520" s="464" t="s">
        <v>234</v>
      </c>
      <c r="X520" s="466">
        <v>0</v>
      </c>
      <c r="Y520" s="464">
        <f>Tabla13[[#This Row],[ID]]</f>
        <v>517</v>
      </c>
    </row>
    <row r="521" spans="1:25" s="464" customFormat="1" ht="60" x14ac:dyDescent="0.25">
      <c r="A521" s="453">
        <v>516</v>
      </c>
      <c r="B521" s="548" t="s">
        <v>1194</v>
      </c>
      <c r="C521" s="469" t="s">
        <v>2924</v>
      </c>
      <c r="D521" s="456" t="s">
        <v>1099</v>
      </c>
      <c r="E521" s="457" t="s">
        <v>2925</v>
      </c>
      <c r="F521" s="458">
        <v>1</v>
      </c>
      <c r="G521" s="459"/>
      <c r="H521" s="460"/>
      <c r="I521" s="460" t="s">
        <v>2011</v>
      </c>
      <c r="J521" s="460"/>
      <c r="K521" s="460" t="s">
        <v>1411</v>
      </c>
      <c r="L521" s="460">
        <v>60005213</v>
      </c>
      <c r="M521" s="461">
        <v>45622</v>
      </c>
      <c r="N521" s="461">
        <v>45624</v>
      </c>
      <c r="O521" s="470" t="s">
        <v>1171</v>
      </c>
      <c r="P521" s="463" t="str">
        <f>IF(LEFT(B521,5)="09735",
    IF(ISNA(VLOOKUP(Tabla13[[#This Row],[Apoyo]],'LM SAP'!A:G,1,FALSE)),
        "No Disponible",
        IF(VLOOKUP(Tabla13[[#This Row],[Apoyo]],'LM SAP'!A:AD,9,FALSE)="RR",
            "Disponible",
            "Firmas SAP"
        )
    ),
    "CONSULTAR"
)</f>
        <v>No Disponible</v>
      </c>
      <c r="Q521" s="460" t="str">
        <f>MID(Tabla13[[#This Row],[Código Indra]],1,13)</f>
        <v>0973545020425</v>
      </c>
      <c r="R521" s="464" t="str">
        <f>IF(ISNA(VLOOKUP(Tabla13[[#This Row],[Código Indra]],#REF!,1,FALSE)),"NO", "SI")</f>
        <v>SI</v>
      </c>
      <c r="S521" s="460" t="str">
        <f>IF(ISNA(VLOOKUP(Tabla13[[#This Row],[Código Indra]],Tabla132[[Código INDRA]:[Nombre]],1,FALSE)),"NO", "SI")</f>
        <v>SI</v>
      </c>
      <c r="T521" s="465" t="s">
        <v>2005</v>
      </c>
      <c r="U521" s="464" t="s">
        <v>256</v>
      </c>
      <c r="V521" s="464" t="e">
        <f>VLOOKUP(Tabla13[[#This Row],[Apoyo]],'LM SAP'!A:I,9,FALSE)</f>
        <v>#N/A</v>
      </c>
      <c r="W521" s="464" t="s">
        <v>234</v>
      </c>
      <c r="X521" s="466">
        <v>0</v>
      </c>
      <c r="Y521" s="464">
        <f>Tabla13[[#This Row],[ID]]</f>
        <v>516</v>
      </c>
    </row>
    <row r="522" spans="1:25" s="464" customFormat="1" ht="60" x14ac:dyDescent="0.25">
      <c r="A522" s="453">
        <v>515</v>
      </c>
      <c r="B522" s="548" t="s">
        <v>1191</v>
      </c>
      <c r="C522" s="469" t="s">
        <v>2926</v>
      </c>
      <c r="D522" s="456" t="s">
        <v>1099</v>
      </c>
      <c r="E522" s="457" t="s">
        <v>2927</v>
      </c>
      <c r="F522" s="458">
        <v>1</v>
      </c>
      <c r="G522" s="459"/>
      <c r="H522" s="460"/>
      <c r="I522" s="460" t="s">
        <v>2011</v>
      </c>
      <c r="J522" s="460"/>
      <c r="K522" s="460" t="s">
        <v>1411</v>
      </c>
      <c r="L522" s="460">
        <v>60005212</v>
      </c>
      <c r="M522" s="461">
        <v>45622</v>
      </c>
      <c r="N522" s="461">
        <v>45624</v>
      </c>
      <c r="O522" s="470" t="s">
        <v>1171</v>
      </c>
      <c r="P522" s="463" t="str">
        <f>IF(LEFT(B522,5)="09735",
    IF(ISNA(VLOOKUP(Tabla13[[#This Row],[Apoyo]],'LM SAP'!A:G,1,FALSE)),
        "No Disponible",
        IF(VLOOKUP(Tabla13[[#This Row],[Apoyo]],'LM SAP'!A:AD,9,FALSE)="RR",
            "Disponible",
            "Firmas SAP"
        )
    ),
    "CONSULTAR"
)</f>
        <v>No Disponible</v>
      </c>
      <c r="Q522" s="460" t="str">
        <f>MID(Tabla13[[#This Row],[Código Indra]],1,13)</f>
        <v>0973545020424</v>
      </c>
      <c r="R522" s="464" t="str">
        <f>IF(ISNA(VLOOKUP(Tabla13[[#This Row],[Código Indra]],#REF!,1,FALSE)),"NO", "SI")</f>
        <v>SI</v>
      </c>
      <c r="S522" s="460" t="str">
        <f>IF(ISNA(VLOOKUP(Tabla13[[#This Row],[Código Indra]],Tabla132[[Código INDRA]:[Nombre]],1,FALSE)),"NO", "SI")</f>
        <v>SI</v>
      </c>
      <c r="T522" s="465" t="s">
        <v>2005</v>
      </c>
      <c r="U522" s="464" t="s">
        <v>256</v>
      </c>
      <c r="V522" s="464" t="e">
        <f>VLOOKUP(Tabla13[[#This Row],[Apoyo]],'LM SAP'!A:I,9,FALSE)</f>
        <v>#N/A</v>
      </c>
      <c r="W522" s="464" t="s">
        <v>234</v>
      </c>
      <c r="X522" s="466">
        <v>0</v>
      </c>
      <c r="Y522" s="464">
        <f>Tabla13[[#This Row],[ID]]</f>
        <v>515</v>
      </c>
    </row>
    <row r="523" spans="1:25" s="464" customFormat="1" ht="60" x14ac:dyDescent="0.25">
      <c r="A523" s="453">
        <v>514</v>
      </c>
      <c r="B523" s="548" t="s">
        <v>1188</v>
      </c>
      <c r="C523" s="469" t="s">
        <v>2928</v>
      </c>
      <c r="D523" s="456" t="s">
        <v>1099</v>
      </c>
      <c r="E523" s="457" t="s">
        <v>2929</v>
      </c>
      <c r="F523" s="458">
        <v>1</v>
      </c>
      <c r="G523" s="459"/>
      <c r="H523" s="460"/>
      <c r="I523" s="460" t="s">
        <v>2011</v>
      </c>
      <c r="J523" s="460"/>
      <c r="K523" s="460" t="s">
        <v>1411</v>
      </c>
      <c r="L523" s="460">
        <v>60005211</v>
      </c>
      <c r="M523" s="461">
        <v>45622</v>
      </c>
      <c r="N523" s="461">
        <v>45624</v>
      </c>
      <c r="O523" s="470" t="s">
        <v>1171</v>
      </c>
      <c r="P523" s="463" t="str">
        <f>IF(LEFT(B523,5)="09735",
    IF(ISNA(VLOOKUP(Tabla13[[#This Row],[Apoyo]],'LM SAP'!A:G,1,FALSE)),
        "No Disponible",
        IF(VLOOKUP(Tabla13[[#This Row],[Apoyo]],'LM SAP'!A:AD,9,FALSE)="RR",
            "Disponible",
            "Firmas SAP"
        )
    ),
    "CONSULTAR"
)</f>
        <v>No Disponible</v>
      </c>
      <c r="Q523" s="460" t="str">
        <f>MID(Tabla13[[#This Row],[Código Indra]],1,13)</f>
        <v>0973545020423</v>
      </c>
      <c r="R523" s="464" t="str">
        <f>IF(ISNA(VLOOKUP(Tabla13[[#This Row],[Código Indra]],#REF!,1,FALSE)),"NO", "SI")</f>
        <v>SI</v>
      </c>
      <c r="S523" s="460" t="str">
        <f>IF(ISNA(VLOOKUP(Tabla13[[#This Row],[Código Indra]],Tabla132[[Código INDRA]:[Nombre]],1,FALSE)),"NO", "SI")</f>
        <v>SI</v>
      </c>
      <c r="T523" s="465" t="s">
        <v>2005</v>
      </c>
      <c r="U523" s="464" t="s">
        <v>256</v>
      </c>
      <c r="V523" s="464" t="e">
        <f>VLOOKUP(Tabla13[[#This Row],[Apoyo]],'LM SAP'!A:I,9,FALSE)</f>
        <v>#N/A</v>
      </c>
      <c r="W523" s="464" t="s">
        <v>234</v>
      </c>
      <c r="X523" s="466">
        <v>0</v>
      </c>
      <c r="Y523" s="464">
        <f>Tabla13[[#This Row],[ID]]</f>
        <v>514</v>
      </c>
    </row>
    <row r="524" spans="1:25" s="464" customFormat="1" ht="36" x14ac:dyDescent="0.25">
      <c r="A524" s="453">
        <v>513</v>
      </c>
      <c r="B524" s="548" t="s">
        <v>1185</v>
      </c>
      <c r="C524" s="469" t="s">
        <v>2930</v>
      </c>
      <c r="D524" s="456" t="s">
        <v>1103</v>
      </c>
      <c r="E524" s="457" t="s">
        <v>2931</v>
      </c>
      <c r="F524" s="458">
        <v>1</v>
      </c>
      <c r="G524" s="459"/>
      <c r="H524" s="460"/>
      <c r="I524" s="460" t="s">
        <v>2011</v>
      </c>
      <c r="J524" s="460"/>
      <c r="K524" s="460" t="s">
        <v>1411</v>
      </c>
      <c r="L524" s="460">
        <v>60005250</v>
      </c>
      <c r="M524" s="461">
        <v>45624</v>
      </c>
      <c r="N524" s="461">
        <v>45630</v>
      </c>
      <c r="O524" s="470" t="s">
        <v>281</v>
      </c>
      <c r="P524" s="463" t="str">
        <f>IF(LEFT(B524,5)="09735",
    IF(ISNA(VLOOKUP(Tabla13[[#This Row],[Apoyo]],'LM SAP'!A:G,1,FALSE)),
        "No Disponible",
        IF(VLOOKUP(Tabla13[[#This Row],[Apoyo]],'LM SAP'!A:AD,9,FALSE)="RR",
            "Disponible",
            "Firmas SAP"
        )
    ),
    "CONSULTAR"
)</f>
        <v>No Disponible</v>
      </c>
      <c r="Q524" s="460" t="str">
        <f>MID(Tabla13[[#This Row],[Código Indra]],1,13)</f>
        <v>0973545020520</v>
      </c>
      <c r="R524" s="464" t="str">
        <f>IF(ISNA(VLOOKUP(Tabla13[[#This Row],[Código Indra]],#REF!,1,FALSE)),"NO", "SI")</f>
        <v>SI</v>
      </c>
      <c r="S524" s="460" t="str">
        <f>IF(ISNA(VLOOKUP(Tabla13[[#This Row],[Código Indra]],Tabla132[[Código INDRA]:[Nombre]],1,FALSE)),"NO", "SI")</f>
        <v>SI</v>
      </c>
      <c r="T524" s="465" t="s">
        <v>2005</v>
      </c>
      <c r="U524" s="464" t="s">
        <v>256</v>
      </c>
      <c r="V524" s="464" t="e">
        <f>VLOOKUP(Tabla13[[#This Row],[Apoyo]],'LM SAP'!A:I,9,FALSE)</f>
        <v>#N/A</v>
      </c>
      <c r="W524" s="464" t="s">
        <v>234</v>
      </c>
      <c r="X524" s="466">
        <v>0</v>
      </c>
      <c r="Y524" s="464">
        <f>Tabla13[[#This Row],[ID]]</f>
        <v>513</v>
      </c>
    </row>
    <row r="525" spans="1:25" s="464" customFormat="1" ht="36" x14ac:dyDescent="0.25">
      <c r="A525" s="453">
        <v>512</v>
      </c>
      <c r="B525" s="548" t="s">
        <v>1181</v>
      </c>
      <c r="C525" s="469" t="s">
        <v>2932</v>
      </c>
      <c r="D525" s="456" t="s">
        <v>1087</v>
      </c>
      <c r="E525" s="457" t="s">
        <v>2933</v>
      </c>
      <c r="F525" s="458">
        <v>1</v>
      </c>
      <c r="G525" s="459"/>
      <c r="H525" s="460"/>
      <c r="I525" s="460" t="s">
        <v>2011</v>
      </c>
      <c r="J525" s="460"/>
      <c r="K525" s="460" t="s">
        <v>1411</v>
      </c>
      <c r="L525" s="460">
        <v>60005210</v>
      </c>
      <c r="M525" s="461">
        <v>45622</v>
      </c>
      <c r="N525" s="461">
        <v>45631</v>
      </c>
      <c r="O525" s="470" t="s">
        <v>2934</v>
      </c>
      <c r="P525" s="463" t="str">
        <f>IF(LEFT(B525,5)="09735",
    IF(ISNA(VLOOKUP(Tabla13[[#This Row],[Apoyo]],'LM SAP'!A:G,1,FALSE)),
        "No Disponible",
        IF(VLOOKUP(Tabla13[[#This Row],[Apoyo]],'LM SAP'!A:AD,9,FALSE)="RR",
            "Disponible",
            "Firmas SAP"
        )
    ),
    "CONSULTAR"
)</f>
        <v>No Disponible</v>
      </c>
      <c r="Q525" s="460" t="str">
        <f>MID(Tabla13[[#This Row],[Código Indra]],1,13)</f>
        <v>0973545020118</v>
      </c>
      <c r="R525" s="464" t="str">
        <f>IF(ISNA(VLOOKUP(Tabla13[[#This Row],[Código Indra]],#REF!,1,FALSE)),"NO", "SI")</f>
        <v>SI</v>
      </c>
      <c r="S525" s="460" t="str">
        <f>IF(ISNA(VLOOKUP(Tabla13[[#This Row],[Código Indra]],Tabla132[[Código INDRA]:[Nombre]],1,FALSE)),"NO", "SI")</f>
        <v>SI</v>
      </c>
      <c r="T525" s="465" t="s">
        <v>2005</v>
      </c>
      <c r="U525" s="464" t="s">
        <v>256</v>
      </c>
      <c r="V525" s="464" t="e">
        <f>VLOOKUP(Tabla13[[#This Row],[Apoyo]],'LM SAP'!A:I,9,FALSE)</f>
        <v>#N/A</v>
      </c>
      <c r="W525" s="464" t="s">
        <v>234</v>
      </c>
      <c r="X525" s="466">
        <v>0</v>
      </c>
      <c r="Y525" s="464">
        <f>Tabla13[[#This Row],[ID]]</f>
        <v>512</v>
      </c>
    </row>
    <row r="526" spans="1:25" s="464" customFormat="1" ht="60" x14ac:dyDescent="0.25">
      <c r="A526" s="453">
        <v>511</v>
      </c>
      <c r="B526" s="548" t="s">
        <v>1178</v>
      </c>
      <c r="C526" s="469" t="s">
        <v>2935</v>
      </c>
      <c r="D526" s="456" t="s">
        <v>1099</v>
      </c>
      <c r="E526" s="457" t="s">
        <v>2936</v>
      </c>
      <c r="F526" s="458">
        <v>1</v>
      </c>
      <c r="G526" s="459"/>
      <c r="H526" s="460"/>
      <c r="I526" s="460" t="s">
        <v>2011</v>
      </c>
      <c r="J526" s="460"/>
      <c r="K526" s="460" t="s">
        <v>1411</v>
      </c>
      <c r="L526" s="460">
        <v>60005209</v>
      </c>
      <c r="M526" s="461">
        <v>45622</v>
      </c>
      <c r="N526" s="461">
        <v>45624</v>
      </c>
      <c r="O526" s="470" t="s">
        <v>1171</v>
      </c>
      <c r="P526" s="463" t="str">
        <f>IF(LEFT(B526,5)="09735",
    IF(ISNA(VLOOKUP(Tabla13[[#This Row],[Apoyo]],'LM SAP'!A:G,1,FALSE)),
        "No Disponible",
        IF(VLOOKUP(Tabla13[[#This Row],[Apoyo]],'LM SAP'!A:AD,9,FALSE)="RR",
            "Disponible",
            "Firmas SAP"
        )
    ),
    "CONSULTAR"
)</f>
        <v>No Disponible</v>
      </c>
      <c r="Q526" s="460" t="str">
        <f>MID(Tabla13[[#This Row],[Código Indra]],1,13)</f>
        <v>0973545020417</v>
      </c>
      <c r="R526" s="464" t="str">
        <f>IF(ISNA(VLOOKUP(Tabla13[[#This Row],[Código Indra]],#REF!,1,FALSE)),"NO", "SI")</f>
        <v>SI</v>
      </c>
      <c r="S526" s="460" t="str">
        <f>IF(ISNA(VLOOKUP(Tabla13[[#This Row],[Código Indra]],Tabla132[[Código INDRA]:[Nombre]],1,FALSE)),"NO", "SI")</f>
        <v>SI</v>
      </c>
      <c r="T526" s="465" t="s">
        <v>2005</v>
      </c>
      <c r="U526" s="464" t="s">
        <v>256</v>
      </c>
      <c r="V526" s="464" t="e">
        <f>VLOOKUP(Tabla13[[#This Row],[Apoyo]],'LM SAP'!A:I,9,FALSE)</f>
        <v>#N/A</v>
      </c>
      <c r="W526" s="464" t="s">
        <v>234</v>
      </c>
      <c r="X526" s="466">
        <v>0</v>
      </c>
      <c r="Y526" s="464">
        <f>Tabla13[[#This Row],[ID]]</f>
        <v>511</v>
      </c>
    </row>
    <row r="527" spans="1:25" s="464" customFormat="1" ht="60" x14ac:dyDescent="0.25">
      <c r="A527" s="453">
        <v>510</v>
      </c>
      <c r="B527" s="548" t="s">
        <v>1175</v>
      </c>
      <c r="C527" s="469" t="s">
        <v>2937</v>
      </c>
      <c r="D527" s="456" t="s">
        <v>1099</v>
      </c>
      <c r="E527" s="457" t="s">
        <v>2938</v>
      </c>
      <c r="F527" s="458">
        <v>1</v>
      </c>
      <c r="G527" s="459"/>
      <c r="H527" s="460"/>
      <c r="I527" s="460" t="s">
        <v>2011</v>
      </c>
      <c r="J527" s="460"/>
      <c r="K527" s="460" t="s">
        <v>1411</v>
      </c>
      <c r="L527" s="460">
        <v>60005208</v>
      </c>
      <c r="M527" s="461">
        <v>45622</v>
      </c>
      <c r="N527" s="461">
        <v>45624</v>
      </c>
      <c r="O527" s="470" t="s">
        <v>1171</v>
      </c>
      <c r="P527" s="463" t="str">
        <f>IF(LEFT(B527,5)="09735",
    IF(ISNA(VLOOKUP(Tabla13[[#This Row],[Apoyo]],'LM SAP'!A:G,1,FALSE)),
        "No Disponible",
        IF(VLOOKUP(Tabla13[[#This Row],[Apoyo]],'LM SAP'!A:AD,9,FALSE)="RR",
            "Disponible",
            "Firmas SAP"
        )
    ),
    "CONSULTAR"
)</f>
        <v>No Disponible</v>
      </c>
      <c r="Q527" s="460" t="str">
        <f>MID(Tabla13[[#This Row],[Código Indra]],1,13)</f>
        <v>0973545020415</v>
      </c>
      <c r="R527" s="464" t="str">
        <f>IF(ISNA(VLOOKUP(Tabla13[[#This Row],[Código Indra]],#REF!,1,FALSE)),"NO", "SI")</f>
        <v>SI</v>
      </c>
      <c r="S527" s="460" t="str">
        <f>IF(ISNA(VLOOKUP(Tabla13[[#This Row],[Código Indra]],Tabla132[[Código INDRA]:[Nombre]],1,FALSE)),"NO", "SI")</f>
        <v>SI</v>
      </c>
      <c r="T527" s="465" t="s">
        <v>2005</v>
      </c>
      <c r="U527" s="464" t="s">
        <v>256</v>
      </c>
      <c r="V527" s="464" t="e">
        <f>VLOOKUP(Tabla13[[#This Row],[Apoyo]],'LM SAP'!A:I,9,FALSE)</f>
        <v>#N/A</v>
      </c>
      <c r="W527" s="464" t="s">
        <v>234</v>
      </c>
      <c r="X527" s="466">
        <v>0</v>
      </c>
      <c r="Y527" s="464">
        <f>Tabla13[[#This Row],[ID]]</f>
        <v>510</v>
      </c>
    </row>
    <row r="528" spans="1:25" s="464" customFormat="1" ht="60" x14ac:dyDescent="0.25">
      <c r="A528" s="453">
        <v>509</v>
      </c>
      <c r="B528" s="548" t="s">
        <v>1172</v>
      </c>
      <c r="C528" s="469" t="s">
        <v>2939</v>
      </c>
      <c r="D528" s="456" t="s">
        <v>1099</v>
      </c>
      <c r="E528" s="457" t="s">
        <v>2940</v>
      </c>
      <c r="F528" s="458">
        <v>1</v>
      </c>
      <c r="G528" s="459"/>
      <c r="H528" s="460"/>
      <c r="I528" s="460" t="s">
        <v>2011</v>
      </c>
      <c r="J528" s="460"/>
      <c r="K528" s="460" t="s">
        <v>1411</v>
      </c>
      <c r="L528" s="460">
        <v>60005207</v>
      </c>
      <c r="M528" s="461">
        <v>45622</v>
      </c>
      <c r="N528" s="461">
        <v>45624</v>
      </c>
      <c r="O528" s="470" t="s">
        <v>1171</v>
      </c>
      <c r="P528" s="463" t="str">
        <f>IF(LEFT(B528,5)="09735",
    IF(ISNA(VLOOKUP(Tabla13[[#This Row],[Apoyo]],'LM SAP'!A:G,1,FALSE)),
        "No Disponible",
        IF(VLOOKUP(Tabla13[[#This Row],[Apoyo]],'LM SAP'!A:AD,9,FALSE)="RR",
            "Disponible",
            "Firmas SAP"
        )
    ),
    "CONSULTAR"
)</f>
        <v>No Disponible</v>
      </c>
      <c r="Q528" s="460" t="str">
        <f>MID(Tabla13[[#This Row],[Código Indra]],1,13)</f>
        <v>0973545020414</v>
      </c>
      <c r="R528" s="464" t="str">
        <f>IF(ISNA(VLOOKUP(Tabla13[[#This Row],[Código Indra]],#REF!,1,FALSE)),"NO", "SI")</f>
        <v>SI</v>
      </c>
      <c r="S528" s="460" t="str">
        <f>IF(ISNA(VLOOKUP(Tabla13[[#This Row],[Código Indra]],Tabla132[[Código INDRA]:[Nombre]],1,FALSE)),"NO", "SI")</f>
        <v>SI</v>
      </c>
      <c r="T528" s="465" t="s">
        <v>2005</v>
      </c>
      <c r="U528" s="464" t="s">
        <v>256</v>
      </c>
      <c r="V528" s="464" t="e">
        <f>VLOOKUP(Tabla13[[#This Row],[Apoyo]],'LM SAP'!A:I,9,FALSE)</f>
        <v>#N/A</v>
      </c>
      <c r="W528" s="464" t="s">
        <v>234</v>
      </c>
      <c r="X528" s="466">
        <v>0</v>
      </c>
      <c r="Y528" s="464">
        <f>Tabla13[[#This Row],[ID]]</f>
        <v>509</v>
      </c>
    </row>
    <row r="529" spans="1:25" s="464" customFormat="1" ht="60" x14ac:dyDescent="0.25">
      <c r="A529" s="453">
        <v>508</v>
      </c>
      <c r="B529" s="548" t="s">
        <v>1168</v>
      </c>
      <c r="C529" s="469" t="s">
        <v>2941</v>
      </c>
      <c r="D529" s="456" t="s">
        <v>1099</v>
      </c>
      <c r="E529" s="457" t="s">
        <v>2942</v>
      </c>
      <c r="F529" s="458">
        <v>1</v>
      </c>
      <c r="G529" s="459"/>
      <c r="H529" s="460"/>
      <c r="I529" s="460" t="s">
        <v>2011</v>
      </c>
      <c r="J529" s="460"/>
      <c r="K529" s="460" t="s">
        <v>1411</v>
      </c>
      <c r="L529" s="460">
        <v>60005083</v>
      </c>
      <c r="M529" s="461">
        <v>45616</v>
      </c>
      <c r="N529" s="461">
        <v>45625</v>
      </c>
      <c r="O529" s="470" t="s">
        <v>1171</v>
      </c>
      <c r="P529" s="463" t="str">
        <f>IF(LEFT(B529,5)="09735",
    IF(ISNA(VLOOKUP(Tabla13[[#This Row],[Apoyo]],'LM SAP'!A:G,1,FALSE)),
        "No Disponible",
        IF(VLOOKUP(Tabla13[[#This Row],[Apoyo]],'LM SAP'!A:AD,9,FALSE)="RR",
            "Disponible",
            "Firmas SAP"
        )
    ),
    "CONSULTAR"
)</f>
        <v>No Disponible</v>
      </c>
      <c r="Q529" s="460" t="str">
        <f>MID(Tabla13[[#This Row],[Código Indra]],1,13)</f>
        <v>0973545020413</v>
      </c>
      <c r="R529" s="464" t="str">
        <f>IF(ISNA(VLOOKUP(Tabla13[[#This Row],[Código Indra]],#REF!,1,FALSE)),"NO", "SI")</f>
        <v>SI</v>
      </c>
      <c r="S529" s="460" t="str">
        <f>IF(ISNA(VLOOKUP(Tabla13[[#This Row],[Código Indra]],Tabla132[[Código INDRA]:[Nombre]],1,FALSE)),"NO", "SI")</f>
        <v>SI</v>
      </c>
      <c r="T529" s="465" t="s">
        <v>2005</v>
      </c>
      <c r="U529" s="464" t="s">
        <v>256</v>
      </c>
      <c r="V529" s="464" t="e">
        <f>VLOOKUP(Tabla13[[#This Row],[Apoyo]],'LM SAP'!A:I,9,FALSE)</f>
        <v>#N/A</v>
      </c>
      <c r="W529" s="464" t="s">
        <v>234</v>
      </c>
      <c r="X529" s="466">
        <v>0</v>
      </c>
      <c r="Y529" s="464">
        <f>Tabla13[[#This Row],[ID]]</f>
        <v>508</v>
      </c>
    </row>
    <row r="530" spans="1:25" s="464" customFormat="1" ht="36" x14ac:dyDescent="0.25">
      <c r="A530" s="453">
        <v>507</v>
      </c>
      <c r="B530" s="548" t="s">
        <v>1165</v>
      </c>
      <c r="C530" s="469" t="s">
        <v>2943</v>
      </c>
      <c r="D530" s="456" t="s">
        <v>1095</v>
      </c>
      <c r="E530" s="457" t="s">
        <v>2944</v>
      </c>
      <c r="F530" s="458">
        <v>1</v>
      </c>
      <c r="G530" s="465"/>
      <c r="H530" s="460"/>
      <c r="I530" s="460" t="s">
        <v>2011</v>
      </c>
      <c r="J530" s="460"/>
      <c r="K530" s="460" t="s">
        <v>1411</v>
      </c>
      <c r="L530" s="460">
        <v>60005082</v>
      </c>
      <c r="M530" s="461">
        <v>45616</v>
      </c>
      <c r="N530" s="461">
        <v>45631</v>
      </c>
      <c r="O530" s="470" t="s">
        <v>711</v>
      </c>
      <c r="P530" s="463" t="str">
        <f>IF(LEFT(B530,5)="09735",
    IF(ISNA(VLOOKUP(Tabla13[[#This Row],[Apoyo]],'LM SAP'!A:G,1,FALSE)),
        "No Disponible",
        IF(VLOOKUP(Tabla13[[#This Row],[Apoyo]],'LM SAP'!A:AD,9,FALSE)="RR",
            "Disponible",
            "Firmas SAP"
        )
    ),
    "CONSULTAR"
)</f>
        <v>Disponible</v>
      </c>
      <c r="Q530" s="460" t="str">
        <f>MID(Tabla13[[#This Row],[Código Indra]],1,13)</f>
        <v>0973545020300</v>
      </c>
      <c r="R530" s="464" t="str">
        <f>IF(ISNA(VLOOKUP(Tabla13[[#This Row],[Código Indra]],#REF!,1,FALSE)),"NO", "SI")</f>
        <v>SI</v>
      </c>
      <c r="S530" s="460" t="str">
        <f>IF(ISNA(VLOOKUP(Tabla13[[#This Row],[Código Indra]],Tabla132[[Código INDRA]:[Nombre]],1,FALSE)),"NO", "SI")</f>
        <v>SI</v>
      </c>
      <c r="T530" s="465" t="s">
        <v>2005</v>
      </c>
      <c r="U530" s="464" t="s">
        <v>256</v>
      </c>
      <c r="V530" s="464" t="str">
        <f>VLOOKUP(Tabla13[[#This Row],[Apoyo]],'LM SAP'!A:I,9,FALSE)</f>
        <v>RR</v>
      </c>
      <c r="W530" s="464" t="s">
        <v>234</v>
      </c>
      <c r="X530" s="466">
        <v>0</v>
      </c>
      <c r="Y530" s="464">
        <f>Tabla13[[#This Row],[ID]]</f>
        <v>507</v>
      </c>
    </row>
    <row r="531" spans="1:25" s="464" customFormat="1" ht="36" x14ac:dyDescent="0.25">
      <c r="A531" s="453">
        <v>506</v>
      </c>
      <c r="B531" s="498" t="s">
        <v>1162</v>
      </c>
      <c r="C531" s="469" t="s">
        <v>2945</v>
      </c>
      <c r="D531" s="481" t="s">
        <v>1091</v>
      </c>
      <c r="E531" s="457" t="s">
        <v>2946</v>
      </c>
      <c r="F531" s="458">
        <v>1</v>
      </c>
      <c r="G531" s="459"/>
      <c r="H531" s="460"/>
      <c r="I531" s="460" t="s">
        <v>2011</v>
      </c>
      <c r="J531" s="460"/>
      <c r="K531" s="460" t="s">
        <v>1411</v>
      </c>
      <c r="L531" s="460">
        <v>60005206</v>
      </c>
      <c r="M531" s="461">
        <v>45622</v>
      </c>
      <c r="N531" s="461">
        <v>45631</v>
      </c>
      <c r="O531" s="470" t="s">
        <v>2934</v>
      </c>
      <c r="P531" s="463" t="str">
        <f>IF(LEFT(B531,5)="09735",
    IF(ISNA(VLOOKUP(Tabla13[[#This Row],[Apoyo]],'LM SAP'!A:G,1,FALSE)),
        "No Disponible",
        IF(VLOOKUP(Tabla13[[#This Row],[Apoyo]],'LM SAP'!A:AD,9,FALSE)="RR",
            "Disponible",
            "Firmas SAP"
        )
    ),
    "CONSULTAR"
)</f>
        <v>No Disponible</v>
      </c>
      <c r="Q531" s="460" t="str">
        <f>MID(Tabla13[[#This Row],[Código Indra]],1,13)</f>
        <v>0973545020209</v>
      </c>
      <c r="R531" s="464" t="str">
        <f>IF(ISNA(VLOOKUP(Tabla13[[#This Row],[Código Indra]],#REF!,1,FALSE)),"NO", "SI")</f>
        <v>SI</v>
      </c>
      <c r="S531" s="460" t="str">
        <f>IF(ISNA(VLOOKUP(Tabla13[[#This Row],[Código Indra]],Tabla132[[Código INDRA]:[Nombre]],1,FALSE)),"NO", "SI")</f>
        <v>SI</v>
      </c>
      <c r="T531" s="465" t="s">
        <v>2005</v>
      </c>
      <c r="U531" s="464" t="s">
        <v>256</v>
      </c>
      <c r="V531" s="464" t="e">
        <f>VLOOKUP(Tabla13[[#This Row],[Apoyo]],'LM SAP'!A:I,9,FALSE)</f>
        <v>#N/A</v>
      </c>
      <c r="W531" s="464" t="s">
        <v>234</v>
      </c>
      <c r="X531" s="466">
        <v>0</v>
      </c>
      <c r="Y531" s="464">
        <f>Tabla13[[#This Row],[ID]]</f>
        <v>506</v>
      </c>
    </row>
    <row r="532" spans="1:25" s="464" customFormat="1" ht="36" x14ac:dyDescent="0.25">
      <c r="A532" s="453">
        <v>505</v>
      </c>
      <c r="B532" s="498" t="s">
        <v>1159</v>
      </c>
      <c r="C532" s="469" t="s">
        <v>2947</v>
      </c>
      <c r="D532" s="481" t="s">
        <v>1091</v>
      </c>
      <c r="E532" s="457" t="s">
        <v>2948</v>
      </c>
      <c r="F532" s="458">
        <v>1</v>
      </c>
      <c r="G532" s="459"/>
      <c r="H532" s="460"/>
      <c r="I532" s="460" t="s">
        <v>2011</v>
      </c>
      <c r="J532" s="460"/>
      <c r="K532" s="460" t="s">
        <v>1411</v>
      </c>
      <c r="L532" s="460">
        <v>60005205</v>
      </c>
      <c r="M532" s="461">
        <v>45622</v>
      </c>
      <c r="N532" s="461">
        <v>45631</v>
      </c>
      <c r="O532" s="470" t="s">
        <v>2934</v>
      </c>
      <c r="P532" s="463" t="str">
        <f>IF(LEFT(B532,5)="09735",
    IF(ISNA(VLOOKUP(Tabla13[[#This Row],[Apoyo]],'LM SAP'!A:G,1,FALSE)),
        "No Disponible",
        IF(VLOOKUP(Tabla13[[#This Row],[Apoyo]],'LM SAP'!A:AD,9,FALSE)="RR",
            "Disponible",
            "Firmas SAP"
        )
    ),
    "CONSULTAR"
)</f>
        <v>No Disponible</v>
      </c>
      <c r="Q532" s="460" t="str">
        <f>MID(Tabla13[[#This Row],[Código Indra]],1,13)</f>
        <v>0973545020208</v>
      </c>
      <c r="R532" s="464" t="str">
        <f>IF(ISNA(VLOOKUP(Tabla13[[#This Row],[Código Indra]],#REF!,1,FALSE)),"NO", "SI")</f>
        <v>SI</v>
      </c>
      <c r="S532" s="460" t="str">
        <f>IF(ISNA(VLOOKUP(Tabla13[[#This Row],[Código Indra]],Tabla132[[Código INDRA]:[Nombre]],1,FALSE)),"NO", "SI")</f>
        <v>SI</v>
      </c>
      <c r="T532" s="465" t="s">
        <v>2005</v>
      </c>
      <c r="U532" s="464" t="s">
        <v>256</v>
      </c>
      <c r="V532" s="464" t="e">
        <f>VLOOKUP(Tabla13[[#This Row],[Apoyo]],'LM SAP'!A:I,9,FALSE)</f>
        <v>#N/A</v>
      </c>
      <c r="W532" s="464" t="s">
        <v>234</v>
      </c>
      <c r="X532" s="466">
        <v>0</v>
      </c>
      <c r="Y532" s="464">
        <f>Tabla13[[#This Row],[ID]]</f>
        <v>505</v>
      </c>
    </row>
    <row r="533" spans="1:25" s="464" customFormat="1" ht="36" x14ac:dyDescent="0.25">
      <c r="A533" s="453">
        <v>504</v>
      </c>
      <c r="B533" s="548" t="s">
        <v>1156</v>
      </c>
      <c r="C533" s="469" t="s">
        <v>2949</v>
      </c>
      <c r="D533" s="456" t="s">
        <v>1087</v>
      </c>
      <c r="E533" s="457" t="s">
        <v>2950</v>
      </c>
      <c r="F533" s="458">
        <v>1</v>
      </c>
      <c r="G533" s="459"/>
      <c r="H533" s="460"/>
      <c r="I533" s="460" t="s">
        <v>2011</v>
      </c>
      <c r="J533" s="460"/>
      <c r="K533" s="460" t="s">
        <v>1411</v>
      </c>
      <c r="L533" s="460">
        <v>60005204</v>
      </c>
      <c r="M533" s="461">
        <v>45622</v>
      </c>
      <c r="N533" s="461">
        <v>45631</v>
      </c>
      <c r="O533" s="470" t="s">
        <v>300</v>
      </c>
      <c r="P533" s="463" t="str">
        <f>IF(LEFT(B533,5)="09735",
    IF(ISNA(VLOOKUP(Tabla13[[#This Row],[Apoyo]],'LM SAP'!A:G,1,FALSE)),
        "No Disponible",
        IF(VLOOKUP(Tabla13[[#This Row],[Apoyo]],'LM SAP'!A:AD,9,FALSE)="RR",
            "Disponible",
            "Firmas SAP"
        )
    ),
    "CONSULTAR"
)</f>
        <v>No Disponible</v>
      </c>
      <c r="Q533" s="460" t="str">
        <f>MID(Tabla13[[#This Row],[Código Indra]],1,13)</f>
        <v>0973545020107</v>
      </c>
      <c r="R533" s="464" t="str">
        <f>IF(ISNA(VLOOKUP(Tabla13[[#This Row],[Código Indra]],#REF!,1,FALSE)),"NO", "SI")</f>
        <v>SI</v>
      </c>
      <c r="S533" s="460" t="str">
        <f>IF(ISNA(VLOOKUP(Tabla13[[#This Row],[Código Indra]],Tabla132[[Código INDRA]:[Nombre]],1,FALSE)),"NO", "SI")</f>
        <v>SI</v>
      </c>
      <c r="T533" s="465" t="s">
        <v>2005</v>
      </c>
      <c r="U533" s="464" t="s">
        <v>256</v>
      </c>
      <c r="V533" s="464" t="e">
        <f>VLOOKUP(Tabla13[[#This Row],[Apoyo]],'LM SAP'!A:I,9,FALSE)</f>
        <v>#N/A</v>
      </c>
      <c r="W533" s="464" t="s">
        <v>234</v>
      </c>
      <c r="X533" s="466">
        <v>0</v>
      </c>
      <c r="Y533" s="464">
        <f>Tabla13[[#This Row],[ID]]</f>
        <v>504</v>
      </c>
    </row>
    <row r="534" spans="1:25" s="464" customFormat="1" ht="36" x14ac:dyDescent="0.25">
      <c r="A534" s="453">
        <v>503</v>
      </c>
      <c r="B534" s="498" t="s">
        <v>1152</v>
      </c>
      <c r="C534" s="469" t="s">
        <v>2951</v>
      </c>
      <c r="D534" s="481" t="s">
        <v>1091</v>
      </c>
      <c r="E534" s="457" t="s">
        <v>2952</v>
      </c>
      <c r="F534" s="458">
        <v>1</v>
      </c>
      <c r="G534" s="459"/>
      <c r="H534" s="460"/>
      <c r="I534" s="460" t="s">
        <v>2011</v>
      </c>
      <c r="J534" s="460"/>
      <c r="K534" s="460" t="s">
        <v>1411</v>
      </c>
      <c r="L534" s="460">
        <v>60005203</v>
      </c>
      <c r="M534" s="461">
        <v>45622</v>
      </c>
      <c r="N534" s="461">
        <v>45631</v>
      </c>
      <c r="O534" s="470" t="s">
        <v>2934</v>
      </c>
      <c r="P534" s="463" t="str">
        <f>IF(LEFT(B534,5)="09735",
    IF(ISNA(VLOOKUP(Tabla13[[#This Row],[Apoyo]],'LM SAP'!A:G,1,FALSE)),
        "No Disponible",
        IF(VLOOKUP(Tabla13[[#This Row],[Apoyo]],'LM SAP'!A:AD,9,FALSE)="RR",
            "Disponible",
            "Firmas SAP"
        )
    ),
    "CONSULTAR"
)</f>
        <v>No Disponible</v>
      </c>
      <c r="Q534" s="460" t="str">
        <f>MID(Tabla13[[#This Row],[Código Indra]],1,13)</f>
        <v>0973545020206</v>
      </c>
      <c r="R534" s="464" t="str">
        <f>IF(ISNA(VLOOKUP(Tabla13[[#This Row],[Código Indra]],#REF!,1,FALSE)),"NO", "SI")</f>
        <v>SI</v>
      </c>
      <c r="S534" s="460" t="str">
        <f>IF(ISNA(VLOOKUP(Tabla13[[#This Row],[Código Indra]],Tabla132[[Código INDRA]:[Nombre]],1,FALSE)),"NO", "SI")</f>
        <v>SI</v>
      </c>
      <c r="T534" s="465" t="s">
        <v>2005</v>
      </c>
      <c r="U534" s="464" t="s">
        <v>256</v>
      </c>
      <c r="V534" s="464" t="e">
        <f>VLOOKUP(Tabla13[[#This Row],[Apoyo]],'LM SAP'!A:I,9,FALSE)</f>
        <v>#N/A</v>
      </c>
      <c r="W534" s="464" t="s">
        <v>234</v>
      </c>
      <c r="X534" s="466">
        <v>0</v>
      </c>
      <c r="Y534" s="464">
        <f>Tabla13[[#This Row],[ID]]</f>
        <v>503</v>
      </c>
    </row>
    <row r="535" spans="1:25" s="464" customFormat="1" ht="36" x14ac:dyDescent="0.25">
      <c r="A535" s="453">
        <v>502</v>
      </c>
      <c r="B535" s="548" t="s">
        <v>1149</v>
      </c>
      <c r="C535" s="469" t="s">
        <v>2953</v>
      </c>
      <c r="D535" s="456" t="s">
        <v>1087</v>
      </c>
      <c r="E535" s="457" t="s">
        <v>2954</v>
      </c>
      <c r="F535" s="458">
        <v>1</v>
      </c>
      <c r="G535" s="459"/>
      <c r="H535" s="460"/>
      <c r="I535" s="460" t="s">
        <v>2011</v>
      </c>
      <c r="J535" s="460"/>
      <c r="K535" s="460" t="s">
        <v>1411</v>
      </c>
      <c r="L535" s="460">
        <v>60005202</v>
      </c>
      <c r="M535" s="461">
        <v>45622</v>
      </c>
      <c r="N535" s="461">
        <v>45631</v>
      </c>
      <c r="O535" s="470" t="s">
        <v>300</v>
      </c>
      <c r="P535" s="463" t="str">
        <f>IF(LEFT(B535,5)="09735",
    IF(ISNA(VLOOKUP(Tabla13[[#This Row],[Apoyo]],'LM SAP'!A:G,1,FALSE)),
        "No Disponible",
        IF(VLOOKUP(Tabla13[[#This Row],[Apoyo]],'LM SAP'!A:AD,9,FALSE)="RR",
            "Disponible",
            "Firmas SAP"
        )
    ),
    "CONSULTAR"
)</f>
        <v>No Disponible</v>
      </c>
      <c r="Q535" s="460" t="str">
        <f>MID(Tabla13[[#This Row],[Código Indra]],1,13)</f>
        <v>0973545020105</v>
      </c>
      <c r="R535" s="464" t="str">
        <f>IF(ISNA(VLOOKUP(Tabla13[[#This Row],[Código Indra]],#REF!,1,FALSE)),"NO", "SI")</f>
        <v>SI</v>
      </c>
      <c r="S535" s="460" t="str">
        <f>IF(ISNA(VLOOKUP(Tabla13[[#This Row],[Código Indra]],Tabla132[[Código INDRA]:[Nombre]],1,FALSE)),"NO", "SI")</f>
        <v>SI</v>
      </c>
      <c r="T535" s="465" t="s">
        <v>2005</v>
      </c>
      <c r="U535" s="464" t="s">
        <v>256</v>
      </c>
      <c r="V535" s="464" t="e">
        <f>VLOOKUP(Tabla13[[#This Row],[Apoyo]],'LM SAP'!A:I,9,FALSE)</f>
        <v>#N/A</v>
      </c>
      <c r="W535" s="464" t="s">
        <v>234</v>
      </c>
      <c r="X535" s="466">
        <v>0</v>
      </c>
      <c r="Y535" s="464">
        <f>Tabla13[[#This Row],[ID]]</f>
        <v>502</v>
      </c>
    </row>
    <row r="536" spans="1:25" s="464" customFormat="1" ht="36" x14ac:dyDescent="0.25">
      <c r="A536" s="453">
        <v>501</v>
      </c>
      <c r="B536" s="548" t="s">
        <v>1146</v>
      </c>
      <c r="C536" s="469" t="s">
        <v>2955</v>
      </c>
      <c r="D536" s="456" t="s">
        <v>1087</v>
      </c>
      <c r="E536" s="457" t="s">
        <v>2956</v>
      </c>
      <c r="F536" s="458">
        <v>1</v>
      </c>
      <c r="G536" s="459"/>
      <c r="H536" s="460"/>
      <c r="I536" s="460" t="s">
        <v>2011</v>
      </c>
      <c r="J536" s="460"/>
      <c r="K536" s="460" t="s">
        <v>1411</v>
      </c>
      <c r="L536" s="460">
        <v>60005201</v>
      </c>
      <c r="M536" s="461">
        <v>45622</v>
      </c>
      <c r="N536" s="461">
        <v>45631</v>
      </c>
      <c r="O536" s="470" t="s">
        <v>300</v>
      </c>
      <c r="P536" s="463" t="str">
        <f>IF(LEFT(B536,5)="09735",
    IF(ISNA(VLOOKUP(Tabla13[[#This Row],[Apoyo]],'LM SAP'!A:G,1,FALSE)),
        "No Disponible",
        IF(VLOOKUP(Tabla13[[#This Row],[Apoyo]],'LM SAP'!A:AD,9,FALSE)="RR",
            "Disponible",
            "Firmas SAP"
        )
    ),
    "CONSULTAR"
)</f>
        <v>No Disponible</v>
      </c>
      <c r="Q536" s="460" t="str">
        <f>MID(Tabla13[[#This Row],[Código Indra]],1,13)</f>
        <v>0973545020104</v>
      </c>
      <c r="R536" s="464" t="str">
        <f>IF(ISNA(VLOOKUP(Tabla13[[#This Row],[Código Indra]],#REF!,1,FALSE)),"NO", "SI")</f>
        <v>SI</v>
      </c>
      <c r="S536" s="460" t="str">
        <f>IF(ISNA(VLOOKUP(Tabla13[[#This Row],[Código Indra]],Tabla132[[Código INDRA]:[Nombre]],1,FALSE)),"NO", "SI")</f>
        <v>SI</v>
      </c>
      <c r="T536" s="465" t="s">
        <v>2005</v>
      </c>
      <c r="U536" s="464" t="s">
        <v>227</v>
      </c>
      <c r="V536" s="464" t="e">
        <f>VLOOKUP(Tabla13[[#This Row],[Apoyo]],'LM SAP'!A:I,9,FALSE)</f>
        <v>#N/A</v>
      </c>
      <c r="W536" s="464" t="s">
        <v>234</v>
      </c>
      <c r="X536" s="466">
        <v>0</v>
      </c>
      <c r="Y536" s="464">
        <f>Tabla13[[#This Row],[ID]]</f>
        <v>501</v>
      </c>
    </row>
    <row r="537" spans="1:25" s="464" customFormat="1" ht="36" x14ac:dyDescent="0.25">
      <c r="A537" s="453">
        <v>500</v>
      </c>
      <c r="B537" s="548" t="s">
        <v>1143</v>
      </c>
      <c r="C537" s="469" t="s">
        <v>2957</v>
      </c>
      <c r="D537" s="456" t="s">
        <v>1087</v>
      </c>
      <c r="E537" s="457" t="s">
        <v>2958</v>
      </c>
      <c r="F537" s="458">
        <v>1</v>
      </c>
      <c r="G537" s="459"/>
      <c r="H537" s="460"/>
      <c r="I537" s="460" t="s">
        <v>2011</v>
      </c>
      <c r="J537" s="460"/>
      <c r="K537" s="460" t="s">
        <v>1411</v>
      </c>
      <c r="L537" s="460">
        <v>60005193</v>
      </c>
      <c r="M537" s="461">
        <v>45622</v>
      </c>
      <c r="N537" s="461">
        <v>45631</v>
      </c>
      <c r="O537" s="470" t="s">
        <v>711</v>
      </c>
      <c r="P537" s="463" t="str">
        <f>IF(LEFT(B537,5)="09735",
    IF(ISNA(VLOOKUP(Tabla13[[#This Row],[Apoyo]],'LM SAP'!A:G,1,FALSE)),
        "No Disponible",
        IF(VLOOKUP(Tabla13[[#This Row],[Apoyo]],'LM SAP'!A:AD,9,FALSE)="RR",
            "Disponible",
            "Firmas SAP"
        )
    ),
    "CONSULTAR"
)</f>
        <v>Disponible</v>
      </c>
      <c r="Q537" s="460" t="str">
        <f>MID(Tabla13[[#This Row],[Código Indra]],1,13)</f>
        <v>0973545020103</v>
      </c>
      <c r="R537" s="464" t="str">
        <f>IF(ISNA(VLOOKUP(Tabla13[[#This Row],[Código Indra]],#REF!,1,FALSE)),"NO", "SI")</f>
        <v>SI</v>
      </c>
      <c r="S537" s="460" t="str">
        <f>IF(ISNA(VLOOKUP(Tabla13[[#This Row],[Código Indra]],Tabla132[[Código INDRA]:[Nombre]],1,FALSE)),"NO", "SI")</f>
        <v>SI</v>
      </c>
      <c r="T537" s="465" t="s">
        <v>2005</v>
      </c>
      <c r="U537" s="464" t="s">
        <v>256</v>
      </c>
      <c r="V537" s="464" t="str">
        <f>VLOOKUP(Tabla13[[#This Row],[Apoyo]],'LM SAP'!A:I,9,FALSE)</f>
        <v>RR</v>
      </c>
      <c r="W537" s="464" t="s">
        <v>234</v>
      </c>
      <c r="X537" s="466">
        <v>0</v>
      </c>
      <c r="Y537" s="464">
        <f>Tabla13[[#This Row],[ID]]</f>
        <v>500</v>
      </c>
    </row>
    <row r="538" spans="1:25" s="464" customFormat="1" ht="36" x14ac:dyDescent="0.25">
      <c r="A538" s="453">
        <v>499</v>
      </c>
      <c r="B538" s="480" t="s">
        <v>2959</v>
      </c>
      <c r="C538" s="469" t="s">
        <v>2960</v>
      </c>
      <c r="D538" s="481" t="s">
        <v>2961</v>
      </c>
      <c r="E538" s="457" t="s">
        <v>2962</v>
      </c>
      <c r="F538" s="458">
        <v>1</v>
      </c>
      <c r="G538" s="459"/>
      <c r="H538" s="460"/>
      <c r="I538" s="460" t="s">
        <v>2011</v>
      </c>
      <c r="J538" s="460"/>
      <c r="K538" s="460" t="s">
        <v>1411</v>
      </c>
      <c r="L538" s="460">
        <v>60005663</v>
      </c>
      <c r="M538" s="461">
        <v>45684</v>
      </c>
      <c r="N538" s="461">
        <v>45698</v>
      </c>
      <c r="O538" s="470" t="s">
        <v>2091</v>
      </c>
      <c r="P538" s="463" t="s">
        <v>2282</v>
      </c>
      <c r="Q538" s="460" t="s">
        <v>1140</v>
      </c>
      <c r="R538" s="510"/>
      <c r="S538" s="511" t="str">
        <f>IF(ISNA(VLOOKUP(Tabla13[[#This Row],[Código Indra]],Tabla132[[Código INDRA]:[Nombre]],1,FALSE)),"NO", "SI")</f>
        <v>NO</v>
      </c>
      <c r="T538" s="465" t="s">
        <v>2005</v>
      </c>
      <c r="U538" s="510" t="s">
        <v>256</v>
      </c>
    </row>
    <row r="539" spans="1:25" s="464" customFormat="1" ht="36" x14ac:dyDescent="0.25">
      <c r="A539" s="453">
        <v>498</v>
      </c>
      <c r="B539" s="498" t="s">
        <v>1140</v>
      </c>
      <c r="C539" s="469" t="s">
        <v>2963</v>
      </c>
      <c r="D539" s="481" t="s">
        <v>1091</v>
      </c>
      <c r="E539" s="457" t="s">
        <v>2962</v>
      </c>
      <c r="F539" s="458">
        <v>1</v>
      </c>
      <c r="G539" s="459"/>
      <c r="H539" s="460"/>
      <c r="I539" s="460" t="s">
        <v>2011</v>
      </c>
      <c r="J539" s="460"/>
      <c r="K539" s="460" t="s">
        <v>1411</v>
      </c>
      <c r="L539" s="460">
        <v>60005200</v>
      </c>
      <c r="M539" s="461">
        <v>45622</v>
      </c>
      <c r="N539" s="461">
        <v>45631</v>
      </c>
      <c r="O539" s="470" t="s">
        <v>711</v>
      </c>
      <c r="P539" s="463" t="str">
        <f>IF(LEFT(B539,5)="09735",
    IF(ISNA(VLOOKUP(Tabla13[[#This Row],[Apoyo]],'LM SAP'!A:G,1,FALSE)),
        "No Disponible",
        IF(VLOOKUP(Tabla13[[#This Row],[Apoyo]],'LM SAP'!A:AD,9,FALSE)="RR",
            "Disponible",
            "Firmas SAP"
        )
    ),
    "CONSULTAR"
)</f>
        <v>Disponible</v>
      </c>
      <c r="Q539" s="460" t="str">
        <f>MID(Tabla13[[#This Row],[Código Indra]],1,13)</f>
        <v>0973545020202</v>
      </c>
      <c r="R539" s="464" t="str">
        <f>IF(ISNA(VLOOKUP(Tabla13[[#This Row],[Código Indra]],#REF!,1,FALSE)),"NO", "SI")</f>
        <v>SI</v>
      </c>
      <c r="S539" s="460" t="str">
        <f>IF(ISNA(VLOOKUP(Tabla13[[#This Row],[Código Indra]],Tabla132[[Código INDRA]:[Nombre]],1,FALSE)),"NO", "SI")</f>
        <v>SI</v>
      </c>
      <c r="T539" s="465" t="s">
        <v>2005</v>
      </c>
      <c r="U539" s="464" t="s">
        <v>256</v>
      </c>
      <c r="V539" s="464" t="str">
        <f>VLOOKUP(Tabla13[[#This Row],[Apoyo]],'LM SAP'!A:I,9,FALSE)</f>
        <v>RR</v>
      </c>
      <c r="W539" s="464" t="s">
        <v>234</v>
      </c>
      <c r="X539" s="466">
        <v>0</v>
      </c>
      <c r="Y539" s="464">
        <f>Tabla13[[#This Row],[ID]]</f>
        <v>498</v>
      </c>
    </row>
    <row r="540" spans="1:25" s="464" customFormat="1" ht="36" x14ac:dyDescent="0.25">
      <c r="A540" s="453">
        <v>497</v>
      </c>
      <c r="B540" s="480" t="s">
        <v>2964</v>
      </c>
      <c r="C540" s="469" t="s">
        <v>2965</v>
      </c>
      <c r="D540" s="481" t="s">
        <v>2961</v>
      </c>
      <c r="E540" s="457" t="s">
        <v>2966</v>
      </c>
      <c r="F540" s="458">
        <v>1</v>
      </c>
      <c r="G540" s="459"/>
      <c r="H540" s="460"/>
      <c r="I540" s="460" t="s">
        <v>2011</v>
      </c>
      <c r="J540" s="460"/>
      <c r="K540" s="460" t="s">
        <v>1411</v>
      </c>
      <c r="L540" s="460">
        <v>60005662</v>
      </c>
      <c r="M540" s="461">
        <v>45684</v>
      </c>
      <c r="N540" s="461">
        <v>45698</v>
      </c>
      <c r="O540" s="470" t="s">
        <v>2091</v>
      </c>
      <c r="P540" s="463" t="s">
        <v>2282</v>
      </c>
      <c r="Q540" s="460" t="s">
        <v>1137</v>
      </c>
      <c r="R540" s="510"/>
      <c r="S540" s="511" t="str">
        <f>IF(ISNA(VLOOKUP(Tabla13[[#This Row],[Código Indra]],Tabla132[[Código INDRA]:[Nombre]],1,FALSE)),"NO", "SI")</f>
        <v>NO</v>
      </c>
      <c r="T540" s="465" t="s">
        <v>2005</v>
      </c>
      <c r="U540" s="510" t="s">
        <v>256</v>
      </c>
    </row>
    <row r="541" spans="1:25" s="464" customFormat="1" ht="36" x14ac:dyDescent="0.25">
      <c r="A541" s="453">
        <v>496</v>
      </c>
      <c r="B541" s="498" t="s">
        <v>1137</v>
      </c>
      <c r="C541" s="469" t="s">
        <v>2967</v>
      </c>
      <c r="D541" s="481" t="s">
        <v>1091</v>
      </c>
      <c r="E541" s="457" t="s">
        <v>2966</v>
      </c>
      <c r="F541" s="458">
        <v>1</v>
      </c>
      <c r="G541" s="459"/>
      <c r="H541" s="460"/>
      <c r="I541" s="460" t="s">
        <v>2011</v>
      </c>
      <c r="J541" s="460"/>
      <c r="K541" s="460" t="s">
        <v>1411</v>
      </c>
      <c r="L541" s="460">
        <v>60005199</v>
      </c>
      <c r="M541" s="461">
        <v>45622</v>
      </c>
      <c r="N541" s="461">
        <v>45631</v>
      </c>
      <c r="O541" s="470" t="s">
        <v>711</v>
      </c>
      <c r="P541" s="463" t="str">
        <f>IF(LEFT(B541,5)="09735",
    IF(ISNA(VLOOKUP(Tabla13[[#This Row],[Apoyo]],'LM SAP'!A:G,1,FALSE)),
        "No Disponible",
        IF(VLOOKUP(Tabla13[[#This Row],[Apoyo]],'LM SAP'!A:AD,9,FALSE)="RR",
            "Disponible",
            "Firmas SAP"
        )
    ),
    "CONSULTAR"
)</f>
        <v>Disponible</v>
      </c>
      <c r="Q541" s="460" t="str">
        <f>MID(Tabla13[[#This Row],[Código Indra]],1,13)</f>
        <v>0973545020201</v>
      </c>
      <c r="R541" s="464" t="str">
        <f>IF(ISNA(VLOOKUP(Tabla13[[#This Row],[Código Indra]],#REF!,1,FALSE)),"NO", "SI")</f>
        <v>SI</v>
      </c>
      <c r="S541" s="460" t="str">
        <f>IF(ISNA(VLOOKUP(Tabla13[[#This Row],[Código Indra]],Tabla132[[Código INDRA]:[Nombre]],1,FALSE)),"NO", "SI")</f>
        <v>SI</v>
      </c>
      <c r="T541" s="465" t="s">
        <v>2005</v>
      </c>
      <c r="U541" s="464" t="s">
        <v>256</v>
      </c>
      <c r="V541" s="464" t="str">
        <f>VLOOKUP(Tabla13[[#This Row],[Apoyo]],'LM SAP'!A:I,9,FALSE)</f>
        <v>RR</v>
      </c>
      <c r="W541" s="464" t="s">
        <v>234</v>
      </c>
      <c r="X541" s="466">
        <v>0</v>
      </c>
      <c r="Y541" s="464">
        <f>Tabla13[[#This Row],[ID]]</f>
        <v>496</v>
      </c>
    </row>
    <row r="542" spans="1:25" s="464" customFormat="1" ht="36" x14ac:dyDescent="0.25">
      <c r="A542" s="453">
        <v>495</v>
      </c>
      <c r="B542" s="454" t="s">
        <v>1116</v>
      </c>
      <c r="C542" s="558" t="s">
        <v>1117</v>
      </c>
      <c r="D542" s="456" t="s">
        <v>83</v>
      </c>
      <c r="E542" s="457" t="s">
        <v>2968</v>
      </c>
      <c r="F542" s="458">
        <v>1</v>
      </c>
      <c r="G542" s="459"/>
      <c r="H542" s="460" t="s">
        <v>2000</v>
      </c>
      <c r="I542" s="460" t="s">
        <v>2011</v>
      </c>
      <c r="J542" s="460"/>
      <c r="K542" s="460" t="s">
        <v>1521</v>
      </c>
      <c r="L542" s="460">
        <v>60005198</v>
      </c>
      <c r="M542" s="461">
        <v>45622</v>
      </c>
      <c r="N542" s="461">
        <v>45674</v>
      </c>
      <c r="O542" s="470" t="s">
        <v>2969</v>
      </c>
      <c r="P542" s="463" t="str">
        <f>IF(LEFT(B542,5)="09735",
    IF(ISNA(VLOOKUP(Tabla13[[#This Row],[Apoyo]],'LM SAP'!A:G,1,FALSE)),
        "No Disponible",
        IF(VLOOKUP(Tabla13[[#This Row],[Apoyo]],'LM SAP'!A:AD,9,FALSE)="RR",
            "Disponible",
            "Firmas SAP"
        )
    ),
    "CONSULTAR"
)</f>
        <v>No Disponible</v>
      </c>
      <c r="Q542" s="460" t="str">
        <f>MID(Tabla13[[#This Row],[Código Indra]],1,13)</f>
        <v>0973544020800</v>
      </c>
      <c r="R542" s="464" t="str">
        <f>IF(ISNA(VLOOKUP(Tabla13[[#This Row],[Código Indra]],#REF!,1,FALSE)),"NO", "SI")</f>
        <v>SI</v>
      </c>
      <c r="S542" s="460" t="str">
        <f>IF(ISNA(VLOOKUP(Tabla13[[#This Row],[Código Indra]],Tabla132[[Código INDRA]:[Nombre]],1,FALSE)),"NO", "SI")</f>
        <v>SI</v>
      </c>
      <c r="T542" s="465"/>
      <c r="V542" s="464" t="e">
        <f>VLOOKUP(Tabla13[[#This Row],[Apoyo]],'LM SAP'!A:I,9,FALSE)</f>
        <v>#N/A</v>
      </c>
      <c r="W542" s="464" t="s">
        <v>234</v>
      </c>
      <c r="X542" s="466">
        <v>0</v>
      </c>
      <c r="Y542" s="464">
        <f>Tabla13[[#This Row],[ID]]</f>
        <v>495</v>
      </c>
    </row>
    <row r="543" spans="1:25" s="464" customFormat="1" ht="36" x14ac:dyDescent="0.25">
      <c r="A543" s="453">
        <v>494</v>
      </c>
      <c r="B543" s="454" t="s">
        <v>1112</v>
      </c>
      <c r="C543" s="558" t="s">
        <v>1113</v>
      </c>
      <c r="D543" s="456" t="s">
        <v>83</v>
      </c>
      <c r="E543" s="457" t="s">
        <v>1115</v>
      </c>
      <c r="F543" s="458">
        <v>1</v>
      </c>
      <c r="G543" s="459"/>
      <c r="H543" s="460" t="s">
        <v>2000</v>
      </c>
      <c r="I543" s="460" t="s">
        <v>2011</v>
      </c>
      <c r="J543" s="460"/>
      <c r="K543" s="460" t="s">
        <v>1521</v>
      </c>
      <c r="L543" s="460">
        <v>60005380</v>
      </c>
      <c r="M543" s="461">
        <v>45637</v>
      </c>
      <c r="N543" s="461">
        <v>45674</v>
      </c>
      <c r="O543" s="470" t="s">
        <v>2970</v>
      </c>
      <c r="P543" s="463" t="str">
        <f>IF(LEFT(B543,5)="09735",
    IF(ISNA(VLOOKUP(Tabla13[[#This Row],[Apoyo]],'LM SAP'!A:G,1,FALSE)),
        "No Disponible",
        IF(VLOOKUP(Tabla13[[#This Row],[Apoyo]],'LM SAP'!A:AD,9,FALSE)="RR",
            "Disponible",
            "Firmas SAP"
        )
    ),
    "CONSULTAR"
)</f>
        <v>No Disponible</v>
      </c>
      <c r="Q543" s="460" t="str">
        <f>MID(Tabla13[[#This Row],[Código Indra]],1,13)</f>
        <v>0973544020700</v>
      </c>
      <c r="R543" s="464" t="str">
        <f>IF(ISNA(VLOOKUP(Tabla13[[#This Row],[Código Indra]],#REF!,1,FALSE)),"NO", "SI")</f>
        <v>SI</v>
      </c>
      <c r="S543" s="460" t="str">
        <f>IF(ISNA(VLOOKUP(Tabla13[[#This Row],[Código Indra]],Tabla132[[Código INDRA]:[Nombre]],1,FALSE)),"NO", "SI")</f>
        <v>SI</v>
      </c>
      <c r="T543" s="465"/>
      <c r="V543" s="464" t="e">
        <f>VLOOKUP(Tabla13[[#This Row],[Apoyo]],'LM SAP'!A:I,9,FALSE)</f>
        <v>#N/A</v>
      </c>
      <c r="W543" s="464" t="s">
        <v>234</v>
      </c>
      <c r="X543" s="466">
        <v>0</v>
      </c>
      <c r="Y543" s="464">
        <f>Tabla13[[#This Row],[ID]]</f>
        <v>494</v>
      </c>
    </row>
    <row r="544" spans="1:25" s="464" customFormat="1" ht="36" x14ac:dyDescent="0.25">
      <c r="A544" s="453">
        <v>493</v>
      </c>
      <c r="B544" s="454" t="s">
        <v>1107</v>
      </c>
      <c r="C544" s="558" t="s">
        <v>1108</v>
      </c>
      <c r="D544" s="456" t="s">
        <v>83</v>
      </c>
      <c r="E544" s="457" t="s">
        <v>2971</v>
      </c>
      <c r="F544" s="458">
        <v>1</v>
      </c>
      <c r="G544" s="459"/>
      <c r="H544" s="460" t="s">
        <v>2000</v>
      </c>
      <c r="I544" s="460" t="s">
        <v>2011</v>
      </c>
      <c r="J544" s="460"/>
      <c r="K544" s="460" t="s">
        <v>1521</v>
      </c>
      <c r="L544" s="460">
        <v>60005249</v>
      </c>
      <c r="M544" s="461">
        <v>45624</v>
      </c>
      <c r="N544" s="461">
        <v>45694</v>
      </c>
      <c r="O544" s="470" t="s">
        <v>1111</v>
      </c>
      <c r="P544" s="463" t="str">
        <f>IF(LEFT(B544,5)="09735",
    IF(ISNA(VLOOKUP(Tabla13[[#This Row],[Apoyo]],'LM SAP'!A:G,1,FALSE)),
        "No Disponible",
        IF(VLOOKUP(Tabla13[[#This Row],[Apoyo]],'LM SAP'!A:AD,9,FALSE)="RR",
            "Disponible",
            "Firmas SAP"
        )
    ),
    "CONSULTAR"
)</f>
        <v>No Disponible</v>
      </c>
      <c r="Q544" s="460" t="str">
        <f>MID(Tabla13[[#This Row],[Código Indra]],1,13)</f>
        <v>0973544020600</v>
      </c>
      <c r="R544" s="464" t="str">
        <f>IF(ISNA(VLOOKUP(Tabla13[[#This Row],[Código Indra]],#REF!,1,FALSE)),"NO", "SI")</f>
        <v>SI</v>
      </c>
      <c r="S544" s="460" t="str">
        <f>IF(ISNA(VLOOKUP(Tabla13[[#This Row],[Código Indra]],Tabla132[[Código INDRA]:[Nombre]],1,FALSE)),"NO", "SI")</f>
        <v>SI</v>
      </c>
      <c r="T544" s="465"/>
      <c r="V544" s="464" t="e">
        <f>VLOOKUP(Tabla13[[#This Row],[Apoyo]],'LM SAP'!A:I,9,FALSE)</f>
        <v>#N/A</v>
      </c>
      <c r="W544" s="464" t="s">
        <v>234</v>
      </c>
      <c r="X544" s="466">
        <v>0</v>
      </c>
      <c r="Y544" s="464">
        <f>Tabla13[[#This Row],[ID]]</f>
        <v>493</v>
      </c>
    </row>
    <row r="545" spans="1:25" s="464" customFormat="1" ht="36" x14ac:dyDescent="0.25">
      <c r="A545" s="453">
        <v>492</v>
      </c>
      <c r="B545" s="454" t="s">
        <v>1102</v>
      </c>
      <c r="C545" s="558" t="s">
        <v>1103</v>
      </c>
      <c r="D545" s="456" t="s">
        <v>83</v>
      </c>
      <c r="E545" s="457" t="s">
        <v>2972</v>
      </c>
      <c r="F545" s="458">
        <v>1</v>
      </c>
      <c r="G545" s="459"/>
      <c r="H545" s="460" t="s">
        <v>2000</v>
      </c>
      <c r="I545" s="460" t="s">
        <v>2011</v>
      </c>
      <c r="J545" s="460"/>
      <c r="K545" s="460" t="s">
        <v>1521</v>
      </c>
      <c r="L545" s="460">
        <v>60005195</v>
      </c>
      <c r="M545" s="461">
        <v>45622</v>
      </c>
      <c r="N545" s="461">
        <v>45674</v>
      </c>
      <c r="O545" s="470" t="s">
        <v>2973</v>
      </c>
      <c r="P545" s="463" t="str">
        <f>IF(LEFT(B545,5)="09735",
    IF(ISNA(VLOOKUP(Tabla13[[#This Row],[Apoyo]],'LM SAP'!A:G,1,FALSE)),
        "No Disponible",
        IF(VLOOKUP(Tabla13[[#This Row],[Apoyo]],'LM SAP'!A:AD,9,FALSE)="RR",
            "Disponible",
            "Firmas SAP"
        )
    ),
    "CONSULTAR"
)</f>
        <v>No Disponible</v>
      </c>
      <c r="Q545" s="460" t="str">
        <f>MID(Tabla13[[#This Row],[Código Indra]],1,13)</f>
        <v>0973544020500</v>
      </c>
      <c r="R545" s="464" t="str">
        <f>IF(ISNA(VLOOKUP(Tabla13[[#This Row],[Código Indra]],#REF!,1,FALSE)),"NO", "SI")</f>
        <v>SI</v>
      </c>
      <c r="S545" s="460" t="str">
        <f>IF(ISNA(VLOOKUP(Tabla13[[#This Row],[Código Indra]],Tabla132[[Código INDRA]:[Nombre]],1,FALSE)),"NO", "SI")</f>
        <v>SI</v>
      </c>
      <c r="T545" s="465"/>
      <c r="V545" s="464" t="e">
        <f>VLOOKUP(Tabla13[[#This Row],[Apoyo]],'LM SAP'!A:I,9,FALSE)</f>
        <v>#N/A</v>
      </c>
      <c r="W545" s="464" t="s">
        <v>234</v>
      </c>
      <c r="X545" s="466">
        <v>0</v>
      </c>
      <c r="Y545" s="464">
        <f>Tabla13[[#This Row],[ID]]</f>
        <v>492</v>
      </c>
    </row>
    <row r="546" spans="1:25" s="464" customFormat="1" ht="36" x14ac:dyDescent="0.25">
      <c r="A546" s="453">
        <v>491</v>
      </c>
      <c r="B546" s="454" t="s">
        <v>1098</v>
      </c>
      <c r="C546" s="558" t="s">
        <v>1099</v>
      </c>
      <c r="D546" s="456" t="s">
        <v>83</v>
      </c>
      <c r="E546" s="457" t="s">
        <v>2974</v>
      </c>
      <c r="F546" s="458">
        <v>1</v>
      </c>
      <c r="G546" s="459"/>
      <c r="H546" s="460" t="s">
        <v>2000</v>
      </c>
      <c r="I546" s="460" t="s">
        <v>2011</v>
      </c>
      <c r="J546" s="460"/>
      <c r="K546" s="460" t="s">
        <v>1521</v>
      </c>
      <c r="L546" s="460">
        <v>60000000</v>
      </c>
      <c r="M546" s="461"/>
      <c r="N546" s="461"/>
      <c r="O546" s="470"/>
      <c r="P546" s="463" t="str">
        <f>IF(LEFT(B546,5)="09735",
    IF(ISNA(VLOOKUP(Tabla13[[#This Row],[Apoyo]],'LM SAP'!A:G,1,FALSE)),
        "No Disponible",
        IF(VLOOKUP(Tabla13[[#This Row],[Apoyo]],'LM SAP'!A:AD,9,FALSE)="RR",
            "Disponible",
            "Firmas SAP"
        )
    ),
    "CONSULTAR"
)</f>
        <v>No Disponible</v>
      </c>
      <c r="Q546" s="460" t="str">
        <f>MID(Tabla13[[#This Row],[Código Indra]],1,13)</f>
        <v>0973524020400</v>
      </c>
      <c r="R546" s="464" t="str">
        <f>IF(ISNA(VLOOKUP(Tabla13[[#This Row],[Código Indra]],#REF!,1,FALSE)),"NO", "SI")</f>
        <v>SI</v>
      </c>
      <c r="S546" s="460" t="str">
        <f>IF(ISNA(VLOOKUP(Tabla13[[#This Row],[Código Indra]],Tabla132[[Código INDRA]:[Nombre]],1,FALSE)),"NO", "SI")</f>
        <v>SI</v>
      </c>
      <c r="T546" s="465"/>
      <c r="V546" s="464" t="e">
        <f>VLOOKUP(Tabla13[[#This Row],[Apoyo]],'LM SAP'!A:I,9,FALSE)</f>
        <v>#N/A</v>
      </c>
      <c r="W546" s="464" t="s">
        <v>234</v>
      </c>
      <c r="X546" s="466">
        <v>0</v>
      </c>
      <c r="Y546" s="464">
        <f>Tabla13[[#This Row],[ID]]</f>
        <v>491</v>
      </c>
    </row>
    <row r="547" spans="1:25" s="464" customFormat="1" ht="36" x14ac:dyDescent="0.25">
      <c r="A547" s="453">
        <v>490</v>
      </c>
      <c r="B547" s="454" t="s">
        <v>1094</v>
      </c>
      <c r="C547" s="558" t="s">
        <v>1095</v>
      </c>
      <c r="D547" s="456" t="s">
        <v>83</v>
      </c>
      <c r="E547" s="457" t="s">
        <v>2975</v>
      </c>
      <c r="F547" s="458">
        <v>1</v>
      </c>
      <c r="G547" s="459"/>
      <c r="H547" s="460" t="s">
        <v>2000</v>
      </c>
      <c r="I547" s="460" t="s">
        <v>2011</v>
      </c>
      <c r="J547" s="460"/>
      <c r="K547" s="460" t="s">
        <v>1521</v>
      </c>
      <c r="L547" s="460">
        <v>60000000</v>
      </c>
      <c r="M547" s="461"/>
      <c r="N547" s="461"/>
      <c r="O547" s="470"/>
      <c r="P547" s="463" t="str">
        <f>IF(LEFT(B547,5)="09735",
    IF(ISNA(VLOOKUP(Tabla13[[#This Row],[Apoyo]],'LM SAP'!A:G,1,FALSE)),
        "No Disponible",
        IF(VLOOKUP(Tabla13[[#This Row],[Apoyo]],'LM SAP'!A:AD,9,FALSE)="RR",
            "Disponible",
            "Firmas SAP"
        )
    ),
    "CONSULTAR"
)</f>
        <v>No Disponible</v>
      </c>
      <c r="Q547" s="460" t="str">
        <f>MID(Tabla13[[#This Row],[Código Indra]],1,13)</f>
        <v>0973524020300</v>
      </c>
      <c r="R547" s="464" t="str">
        <f>IF(ISNA(VLOOKUP(Tabla13[[#This Row],[Código Indra]],#REF!,1,FALSE)),"NO", "SI")</f>
        <v>SI</v>
      </c>
      <c r="S547" s="460" t="str">
        <f>IF(ISNA(VLOOKUP(Tabla13[[#This Row],[Código Indra]],Tabla132[[Código INDRA]:[Nombre]],1,FALSE)),"NO", "SI")</f>
        <v>SI</v>
      </c>
      <c r="T547" s="465"/>
      <c r="V547" s="464" t="e">
        <f>VLOOKUP(Tabla13[[#This Row],[Apoyo]],'LM SAP'!A:I,9,FALSE)</f>
        <v>#N/A</v>
      </c>
      <c r="W547" s="464" t="s">
        <v>234</v>
      </c>
      <c r="X547" s="466">
        <v>0</v>
      </c>
      <c r="Y547" s="464">
        <f>Tabla13[[#This Row],[ID]]</f>
        <v>490</v>
      </c>
    </row>
    <row r="548" spans="1:25" s="464" customFormat="1" ht="36" x14ac:dyDescent="0.25">
      <c r="A548" s="453">
        <v>489</v>
      </c>
      <c r="B548" s="454" t="s">
        <v>1090</v>
      </c>
      <c r="C548" s="558" t="s">
        <v>1091</v>
      </c>
      <c r="D548" s="456" t="s">
        <v>83</v>
      </c>
      <c r="E548" s="457" t="s">
        <v>2976</v>
      </c>
      <c r="F548" s="458">
        <v>1</v>
      </c>
      <c r="G548" s="459"/>
      <c r="H548" s="460" t="s">
        <v>2000</v>
      </c>
      <c r="I548" s="460" t="s">
        <v>2011</v>
      </c>
      <c r="J548" s="460"/>
      <c r="K548" s="460" t="s">
        <v>1521</v>
      </c>
      <c r="L548" s="460">
        <v>60005368</v>
      </c>
      <c r="M548" s="461">
        <v>45637</v>
      </c>
      <c r="N548" s="461">
        <v>45674</v>
      </c>
      <c r="O548" s="470" t="s">
        <v>2977</v>
      </c>
      <c r="P548" s="463" t="str">
        <f>IF(LEFT(B548,5)="09735",
    IF(ISNA(VLOOKUP(Tabla13[[#This Row],[Apoyo]],'LM SAP'!A:G,1,FALSE)),
        "No Disponible",
        IF(VLOOKUP(Tabla13[[#This Row],[Apoyo]],'LM SAP'!A:AD,9,FALSE)="RR",
            "Disponible",
            "Firmas SAP"
        )
    ),
    "CONSULTAR"
)</f>
        <v>No Disponible</v>
      </c>
      <c r="Q548" s="460" t="str">
        <f>MID(Tabla13[[#This Row],[Código Indra]],1,13)</f>
        <v>0973524020200</v>
      </c>
      <c r="R548" s="464" t="str">
        <f>IF(ISNA(VLOOKUP(Tabla13[[#This Row],[Código Indra]],#REF!,1,FALSE)),"NO", "SI")</f>
        <v>SI</v>
      </c>
      <c r="S548" s="460" t="str">
        <f>IF(ISNA(VLOOKUP(Tabla13[[#This Row],[Código Indra]],Tabla132[[Código INDRA]:[Nombre]],1,FALSE)),"NO", "SI")</f>
        <v>SI</v>
      </c>
      <c r="T548" s="465"/>
      <c r="V548" s="464" t="e">
        <f>VLOOKUP(Tabla13[[#This Row],[Apoyo]],'LM SAP'!A:I,9,FALSE)</f>
        <v>#N/A</v>
      </c>
      <c r="W548" s="464" t="s">
        <v>234</v>
      </c>
      <c r="X548" s="466">
        <v>0</v>
      </c>
      <c r="Y548" s="464">
        <f>Tabla13[[#This Row],[ID]]</f>
        <v>489</v>
      </c>
    </row>
    <row r="549" spans="1:25" s="464" customFormat="1" ht="48" x14ac:dyDescent="0.25">
      <c r="A549" s="453">
        <v>488</v>
      </c>
      <c r="B549" s="454" t="s">
        <v>1086</v>
      </c>
      <c r="C549" s="558" t="s">
        <v>1087</v>
      </c>
      <c r="D549" s="456" t="s">
        <v>83</v>
      </c>
      <c r="E549" s="457" t="s">
        <v>2978</v>
      </c>
      <c r="F549" s="458">
        <v>1</v>
      </c>
      <c r="G549" s="459"/>
      <c r="H549" s="460" t="s">
        <v>2000</v>
      </c>
      <c r="I549" s="460" t="s">
        <v>2011</v>
      </c>
      <c r="J549" s="460"/>
      <c r="K549" s="460" t="s">
        <v>1521</v>
      </c>
      <c r="L549" s="460">
        <v>60005367</v>
      </c>
      <c r="M549" s="461">
        <v>45637</v>
      </c>
      <c r="N549" s="461">
        <v>45674</v>
      </c>
      <c r="O549" s="470" t="s">
        <v>2979</v>
      </c>
      <c r="P549" s="463" t="str">
        <f>IF(LEFT(B549,5)="09735",
    IF(ISNA(VLOOKUP(Tabla13[[#This Row],[Apoyo]],'LM SAP'!A:G,1,FALSE)),
        "No Disponible",
        IF(VLOOKUP(Tabla13[[#This Row],[Apoyo]],'LM SAP'!A:AD,9,FALSE)="RR",
            "Disponible",
            "Firmas SAP"
        )
    ),
    "CONSULTAR"
)</f>
        <v>No Disponible</v>
      </c>
      <c r="Q549" s="460" t="str">
        <f>MID(Tabla13[[#This Row],[Código Indra]],1,13)</f>
        <v>0973524020100</v>
      </c>
      <c r="R549" s="464" t="str">
        <f>IF(ISNA(VLOOKUP(Tabla13[[#This Row],[Código Indra]],#REF!,1,FALSE)),"NO", "SI")</f>
        <v>SI</v>
      </c>
      <c r="S549" s="460" t="str">
        <f>IF(ISNA(VLOOKUP(Tabla13[[#This Row],[Código Indra]],Tabla132[[Código INDRA]:[Nombre]],1,FALSE)),"NO", "SI")</f>
        <v>SI</v>
      </c>
      <c r="T549" s="465"/>
      <c r="V549" s="464" t="e">
        <f>VLOOKUP(Tabla13[[#This Row],[Apoyo]],'LM SAP'!A:I,9,FALSE)</f>
        <v>#N/A</v>
      </c>
      <c r="W549" s="464" t="s">
        <v>234</v>
      </c>
      <c r="X549" s="466">
        <v>0</v>
      </c>
      <c r="Y549" s="464">
        <f>Tabla13[[#This Row],[ID]]</f>
        <v>488</v>
      </c>
    </row>
    <row r="550" spans="1:25" s="464" customFormat="1" ht="24" x14ac:dyDescent="0.25">
      <c r="A550" s="453">
        <v>487</v>
      </c>
      <c r="B550" s="454" t="s">
        <v>636</v>
      </c>
      <c r="C550" s="455" t="s">
        <v>83</v>
      </c>
      <c r="D550" s="456"/>
      <c r="E550" s="457" t="s">
        <v>2980</v>
      </c>
      <c r="F550" s="458">
        <v>1</v>
      </c>
      <c r="G550" s="459"/>
      <c r="H550" s="460" t="s">
        <v>2000</v>
      </c>
      <c r="I550" s="460" t="s">
        <v>2011</v>
      </c>
      <c r="J550" s="460"/>
      <c r="K550" s="460" t="s">
        <v>1411</v>
      </c>
      <c r="L550" s="460">
        <v>60005507</v>
      </c>
      <c r="M550" s="461">
        <v>45665</v>
      </c>
      <c r="N550" s="461">
        <v>45671</v>
      </c>
      <c r="O550" s="612" t="s">
        <v>2981</v>
      </c>
      <c r="P550" s="463" t="str">
        <f>IF(LEFT(B550,5)="09735",
    IF(ISNA(VLOOKUP(Tabla13[[#This Row],[Apoyo]],'LM SAP'!A:G,1,FALSE)),
        "No Disponible",
        IF(VLOOKUP(Tabla13[[#This Row],[Apoyo]],'LM SAP'!A:AD,9,FALSE)="RR",
            "Disponible",
            "Firmas SAP"
        )
    ),
    "CONSULTAR"
)</f>
        <v>No Disponible</v>
      </c>
      <c r="Q550" s="460" t="str">
        <f>MID(Tabla13[[#This Row],[Código Indra]],1,13)</f>
        <v>0973524020000</v>
      </c>
      <c r="R550" s="464" t="str">
        <f>IF(ISNA(VLOOKUP(Tabla13[[#This Row],[Código Indra]],#REF!,1,FALSE)),"NO", "SI")</f>
        <v>SI</v>
      </c>
      <c r="S550" s="460" t="str">
        <f>IF(ISNA(VLOOKUP(Tabla13[[#This Row],[Código Indra]],Tabla132[[Código INDRA]:[Nombre]],1,FALSE)),"NO", "SI")</f>
        <v>SI</v>
      </c>
      <c r="T550" s="465"/>
      <c r="U550" s="464" t="s">
        <v>227</v>
      </c>
      <c r="V550" s="464" t="e">
        <f>VLOOKUP(Tabla13[[#This Row],[Apoyo]],'LM SAP'!A:I,9,FALSE)</f>
        <v>#N/A</v>
      </c>
      <c r="W550" s="464" t="s">
        <v>234</v>
      </c>
      <c r="X550" s="466">
        <v>0</v>
      </c>
      <c r="Y550" s="464">
        <f>Tabla13[[#This Row],[ID]]</f>
        <v>487</v>
      </c>
    </row>
    <row r="551" spans="1:25" s="464" customFormat="1" x14ac:dyDescent="0.25">
      <c r="A551" s="453">
        <v>540</v>
      </c>
      <c r="B551" s="496" t="s">
        <v>108</v>
      </c>
      <c r="C551" s="455" t="s">
        <v>109</v>
      </c>
      <c r="D551" s="456">
        <v>0</v>
      </c>
      <c r="E551" s="457" t="s">
        <v>700</v>
      </c>
      <c r="F551" s="458">
        <v>1</v>
      </c>
      <c r="G551" s="459"/>
      <c r="H551" s="460"/>
      <c r="I551" s="460" t="s">
        <v>650</v>
      </c>
      <c r="J551" s="460"/>
      <c r="K551" s="460" t="s">
        <v>1411</v>
      </c>
      <c r="L551" s="460">
        <v>60005314</v>
      </c>
      <c r="M551" s="461">
        <v>45637</v>
      </c>
      <c r="N551" s="461">
        <v>45694</v>
      </c>
      <c r="O551" s="467" t="s">
        <v>2982</v>
      </c>
      <c r="P551" s="463" t="str">
        <f>IF(LEFT(B551,5)="09735",
    IF(ISNA(VLOOKUP(Tabla13[[#This Row],[Apoyo]],'LM SAP'!A:G,1,FALSE)),
        "No Disponible",
        IF(VLOOKUP(Tabla13[[#This Row],[Apoyo]],'LM SAP'!A:AD,9,FALSE)="RR",
            "Disponible",
            "Firmas SAP"
        )
    ),
    "CONSULTAR"
)</f>
        <v>No Disponible</v>
      </c>
      <c r="Q551" s="460" t="str">
        <f>MID(Tabla13[[#This Row],[Código Indra]],1,13)</f>
        <v>0973524210200</v>
      </c>
      <c r="R551" s="464" t="str">
        <f>IF(ISNA(VLOOKUP(Tabla13[[#This Row],[Código Indra]],#REF!,1,FALSE)),"NO", "SI")</f>
        <v>SI</v>
      </c>
      <c r="S551" s="460" t="str">
        <f>IF(ISNA(VLOOKUP(Tabla13[[#This Row],[Código Indra]],Tabla132[[Código INDRA]:[Nombre]],1,FALSE)),"NO", "SI")</f>
        <v>SI</v>
      </c>
      <c r="T551" s="465"/>
      <c r="U551" s="464" t="s">
        <v>227</v>
      </c>
      <c r="V551" s="464" t="e">
        <f>VLOOKUP(Tabla13[[#This Row],[Apoyo]],'LM SAP'!A:I,9,FALSE)</f>
        <v>#N/A</v>
      </c>
      <c r="X551" s="466">
        <v>0</v>
      </c>
      <c r="Y551" s="464">
        <f>Tabla13[[#This Row],[ID]]</f>
        <v>540</v>
      </c>
    </row>
    <row r="552" spans="1:25" s="464" customFormat="1" ht="24" x14ac:dyDescent="0.25">
      <c r="A552" s="453">
        <v>541</v>
      </c>
      <c r="B552" s="480" t="s">
        <v>719</v>
      </c>
      <c r="C552" s="469" t="s">
        <v>2983</v>
      </c>
      <c r="D552" s="456" t="s">
        <v>651</v>
      </c>
      <c r="E552" s="457" t="s">
        <v>721</v>
      </c>
      <c r="F552" s="458">
        <v>1</v>
      </c>
      <c r="G552" s="457" t="s">
        <v>260</v>
      </c>
      <c r="H552" s="460"/>
      <c r="I552" s="460" t="s">
        <v>2641</v>
      </c>
      <c r="J552" s="460"/>
      <c r="K552" s="460" t="s">
        <v>1411</v>
      </c>
      <c r="L552" s="460">
        <v>60005493</v>
      </c>
      <c r="M552" s="461">
        <v>45665</v>
      </c>
      <c r="N552" s="461">
        <v>45681</v>
      </c>
      <c r="O552" s="470" t="s">
        <v>300</v>
      </c>
      <c r="P552" s="463" t="str">
        <f>IF(LEFT(B552,5)="09735",
    IF(ISNA(VLOOKUP(Tabla13[[#This Row],[Apoyo]],'LM SAP'!A:G,1,FALSE)),
        "No Disponible",
        IF(VLOOKUP(Tabla13[[#This Row],[Apoyo]],'LM SAP'!A:AD,9,FALSE)="RR",
            "Disponible",
            "Firmas SAP"
        )
    ),
    "CONSULTAR"
)</f>
        <v>No Disponible</v>
      </c>
      <c r="Q552" s="460" t="str">
        <f>MID(Tabla13[[#This Row],[Código Indra]],1,13)</f>
        <v>0973545210301</v>
      </c>
      <c r="R552" s="464" t="str">
        <f>IF(ISNA(VLOOKUP(Tabla13[[#This Row],[Código Indra]],#REF!,1,FALSE)),"NO", "SI")</f>
        <v>SI</v>
      </c>
      <c r="S552" s="460" t="str">
        <f>IF(ISNA(VLOOKUP(Tabla13[[#This Row],[Código Indra]],Tabla132[[Código INDRA]:[Nombre]],1,FALSE)),"NO", "SI")</f>
        <v>NO</v>
      </c>
      <c r="T552" s="465" t="s">
        <v>2005</v>
      </c>
      <c r="U552" s="464" t="s">
        <v>256</v>
      </c>
      <c r="V552" s="464" t="e">
        <f>VLOOKUP(Tabla13[[#This Row],[Apoyo]],'LM SAP'!A:I,9,FALSE)</f>
        <v>#N/A</v>
      </c>
      <c r="X552" s="466"/>
      <c r="Y552" s="464">
        <f>Tabla13[[#This Row],[ID]]</f>
        <v>541</v>
      </c>
    </row>
    <row r="553" spans="1:25" s="464" customFormat="1" ht="24" x14ac:dyDescent="0.25">
      <c r="A553" s="453">
        <v>542</v>
      </c>
      <c r="B553" s="454" t="s">
        <v>723</v>
      </c>
      <c r="C553" s="469" t="s">
        <v>2984</v>
      </c>
      <c r="D553" s="456" t="s">
        <v>651</v>
      </c>
      <c r="E553" s="457" t="s">
        <v>725</v>
      </c>
      <c r="F553" s="458">
        <v>1</v>
      </c>
      <c r="G553" s="457" t="s">
        <v>260</v>
      </c>
      <c r="H553" s="460"/>
      <c r="I553" s="460" t="s">
        <v>2641</v>
      </c>
      <c r="J553" s="460"/>
      <c r="K553" s="460" t="s">
        <v>1411</v>
      </c>
      <c r="L553" s="460">
        <v>60005494</v>
      </c>
      <c r="M553" s="461">
        <v>45665</v>
      </c>
      <c r="N553" s="461">
        <v>45681</v>
      </c>
      <c r="O553" s="470" t="s">
        <v>300</v>
      </c>
      <c r="P553" s="463" t="str">
        <f>IF(LEFT(B553,5)="09735",
    IF(ISNA(VLOOKUP(Tabla13[[#This Row],[Apoyo]],'LM SAP'!A:G,1,FALSE)),
        "No Disponible",
        IF(VLOOKUP(Tabla13[[#This Row],[Apoyo]],'LM SAP'!A:AD,9,FALSE)="RR",
            "Disponible",
            "Firmas SAP"
        )
    ),
    "CONSULTAR"
)</f>
        <v>No Disponible</v>
      </c>
      <c r="Q553" s="460" t="str">
        <f>MID(Tabla13[[#This Row],[Código Indra]],1,13)</f>
        <v>0973545210302</v>
      </c>
      <c r="R553" s="464" t="str">
        <f>IF(ISNA(VLOOKUP(Tabla13[[#This Row],[Código Indra]],#REF!,1,FALSE)),"NO", "SI")</f>
        <v>SI</v>
      </c>
      <c r="S553" s="460" t="str">
        <f>IF(ISNA(VLOOKUP(Tabla13[[#This Row],[Código Indra]],Tabla132[[Código INDRA]:[Nombre]],1,FALSE)),"NO", "SI")</f>
        <v>NO</v>
      </c>
      <c r="T553" s="465" t="s">
        <v>2005</v>
      </c>
      <c r="U553" s="464" t="s">
        <v>256</v>
      </c>
      <c r="V553" s="464" t="e">
        <f>VLOOKUP(Tabla13[[#This Row],[Apoyo]],'LM SAP'!A:I,9,FALSE)</f>
        <v>#N/A</v>
      </c>
      <c r="X553" s="466">
        <v>0</v>
      </c>
      <c r="Y553" s="464">
        <f>Tabla13[[#This Row],[ID]]</f>
        <v>542</v>
      </c>
    </row>
    <row r="554" spans="1:25" s="464" customFormat="1" ht="24" x14ac:dyDescent="0.25">
      <c r="A554" s="453">
        <v>543</v>
      </c>
      <c r="B554" s="454" t="s">
        <v>726</v>
      </c>
      <c r="C554" s="469" t="s">
        <v>2985</v>
      </c>
      <c r="D554" s="456" t="s">
        <v>651</v>
      </c>
      <c r="E554" s="457" t="s">
        <v>728</v>
      </c>
      <c r="F554" s="458">
        <v>1</v>
      </c>
      <c r="G554" s="457" t="s">
        <v>260</v>
      </c>
      <c r="H554" s="460"/>
      <c r="I554" s="460" t="s">
        <v>2641</v>
      </c>
      <c r="J554" s="460"/>
      <c r="K554" s="460" t="s">
        <v>1411</v>
      </c>
      <c r="L554" s="460">
        <v>60005495</v>
      </c>
      <c r="M554" s="461">
        <v>45665</v>
      </c>
      <c r="N554" s="461">
        <v>45681</v>
      </c>
      <c r="O554" s="470" t="s">
        <v>300</v>
      </c>
      <c r="P554" s="463" t="str">
        <f>IF(LEFT(B554,5)="09735",
    IF(ISNA(VLOOKUP(Tabla13[[#This Row],[Apoyo]],'LM SAP'!A:G,1,FALSE)),
        "No Disponible",
        IF(VLOOKUP(Tabla13[[#This Row],[Apoyo]],'LM SAP'!A:AD,9,FALSE)="RR",
            "Disponible",
            "Firmas SAP"
        )
    ),
    "CONSULTAR"
)</f>
        <v>No Disponible</v>
      </c>
      <c r="Q554" s="460" t="str">
        <f>MID(Tabla13[[#This Row],[Código Indra]],1,13)</f>
        <v>0973545210303</v>
      </c>
      <c r="R554" s="464" t="str">
        <f>IF(ISNA(VLOOKUP(Tabla13[[#This Row],[Código Indra]],#REF!,1,FALSE)),"NO", "SI")</f>
        <v>SI</v>
      </c>
      <c r="S554" s="460" t="str">
        <f>IF(ISNA(VLOOKUP(Tabla13[[#This Row],[Código Indra]],Tabla132[[Código INDRA]:[Nombre]],1,FALSE)),"NO", "SI")</f>
        <v>NO</v>
      </c>
      <c r="T554" s="465" t="s">
        <v>2005</v>
      </c>
      <c r="U554" s="464" t="s">
        <v>256</v>
      </c>
      <c r="V554" s="464" t="e">
        <f>VLOOKUP(Tabla13[[#This Row],[Apoyo]],'LM SAP'!A:I,9,FALSE)</f>
        <v>#N/A</v>
      </c>
      <c r="X554" s="466">
        <v>0</v>
      </c>
      <c r="Y554" s="464">
        <f>Tabla13[[#This Row],[ID]]</f>
        <v>543</v>
      </c>
    </row>
    <row r="555" spans="1:25" s="464" customFormat="1" ht="24" x14ac:dyDescent="0.25">
      <c r="A555" s="453">
        <v>544</v>
      </c>
      <c r="B555" s="454" t="s">
        <v>729</v>
      </c>
      <c r="C555" s="469" t="s">
        <v>2986</v>
      </c>
      <c r="D555" s="456" t="s">
        <v>651</v>
      </c>
      <c r="E555" s="457" t="s">
        <v>731</v>
      </c>
      <c r="F555" s="458">
        <v>1</v>
      </c>
      <c r="G555" s="457" t="s">
        <v>260</v>
      </c>
      <c r="H555" s="460"/>
      <c r="I555" s="460" t="s">
        <v>2641</v>
      </c>
      <c r="J555" s="460"/>
      <c r="K555" s="460" t="s">
        <v>1411</v>
      </c>
      <c r="L555" s="460">
        <v>60005496</v>
      </c>
      <c r="M555" s="461">
        <v>45665</v>
      </c>
      <c r="N555" s="461">
        <v>45681</v>
      </c>
      <c r="O555" s="470" t="s">
        <v>300</v>
      </c>
      <c r="P555" s="463" t="str">
        <f>IF(LEFT(B555,5)="09735",
    IF(ISNA(VLOOKUP(Tabla13[[#This Row],[Apoyo]],'LM SAP'!A:G,1,FALSE)),
        "No Disponible",
        IF(VLOOKUP(Tabla13[[#This Row],[Apoyo]],'LM SAP'!A:AD,9,FALSE)="RR",
            "Disponible",
            "Firmas SAP"
        )
    ),
    "CONSULTAR"
)</f>
        <v>No Disponible</v>
      </c>
      <c r="Q555" s="460" t="str">
        <f>MID(Tabla13[[#This Row],[Código Indra]],1,13)</f>
        <v>0973545210304</v>
      </c>
      <c r="R555" s="464" t="str">
        <f>IF(ISNA(VLOOKUP(Tabla13[[#This Row],[Código Indra]],#REF!,1,FALSE)),"NO", "SI")</f>
        <v>SI</v>
      </c>
      <c r="S555" s="460" t="str">
        <f>IF(ISNA(VLOOKUP(Tabla13[[#This Row],[Código Indra]],Tabla132[[Código INDRA]:[Nombre]],1,FALSE)),"NO", "SI")</f>
        <v>NO</v>
      </c>
      <c r="T555" s="465" t="s">
        <v>2005</v>
      </c>
      <c r="U555" s="464" t="s">
        <v>256</v>
      </c>
      <c r="V555" s="464" t="e">
        <f>VLOOKUP(Tabla13[[#This Row],[Apoyo]],'LM SAP'!A:I,9,FALSE)</f>
        <v>#N/A</v>
      </c>
      <c r="X555" s="466">
        <v>0</v>
      </c>
      <c r="Y555" s="464">
        <f>Tabla13[[#This Row],[ID]]</f>
        <v>544</v>
      </c>
    </row>
    <row r="556" spans="1:25" s="464" customFormat="1" ht="24" x14ac:dyDescent="0.25">
      <c r="A556" s="453">
        <v>545</v>
      </c>
      <c r="B556" s="454" t="s">
        <v>732</v>
      </c>
      <c r="C556" s="469" t="s">
        <v>2987</v>
      </c>
      <c r="D556" s="456" t="s">
        <v>651</v>
      </c>
      <c r="E556" s="457" t="s">
        <v>734</v>
      </c>
      <c r="F556" s="458">
        <v>1</v>
      </c>
      <c r="G556" s="457" t="s">
        <v>260</v>
      </c>
      <c r="H556" s="460"/>
      <c r="I556" s="460" t="s">
        <v>2641</v>
      </c>
      <c r="J556" s="460"/>
      <c r="K556" s="460" t="s">
        <v>1411</v>
      </c>
      <c r="L556" s="460">
        <v>60005497</v>
      </c>
      <c r="M556" s="461">
        <v>45665</v>
      </c>
      <c r="N556" s="461">
        <v>45681</v>
      </c>
      <c r="O556" s="470" t="s">
        <v>300</v>
      </c>
      <c r="P556" s="463" t="str">
        <f>IF(LEFT(B556,5)="09735",
    IF(ISNA(VLOOKUP(Tabla13[[#This Row],[Apoyo]],'LM SAP'!A:G,1,FALSE)),
        "No Disponible",
        IF(VLOOKUP(Tabla13[[#This Row],[Apoyo]],'LM SAP'!A:AD,9,FALSE)="RR",
            "Disponible",
            "Firmas SAP"
        )
    ),
    "CONSULTAR"
)</f>
        <v>No Disponible</v>
      </c>
      <c r="Q556" s="460" t="str">
        <f>MID(Tabla13[[#This Row],[Código Indra]],1,13)</f>
        <v>0973545210305</v>
      </c>
      <c r="R556" s="464" t="str">
        <f>IF(ISNA(VLOOKUP(Tabla13[[#This Row],[Código Indra]],#REF!,1,FALSE)),"NO", "SI")</f>
        <v>SI</v>
      </c>
      <c r="S556" s="460" t="str">
        <f>IF(ISNA(VLOOKUP(Tabla13[[#This Row],[Código Indra]],Tabla132[[Código INDRA]:[Nombre]],1,FALSE)),"NO", "SI")</f>
        <v>NO</v>
      </c>
      <c r="T556" s="465" t="s">
        <v>2005</v>
      </c>
      <c r="U556" s="464" t="s">
        <v>256</v>
      </c>
      <c r="V556" s="464" t="e">
        <f>VLOOKUP(Tabla13[[#This Row],[Apoyo]],'LM SAP'!A:I,9,FALSE)</f>
        <v>#N/A</v>
      </c>
      <c r="X556" s="466">
        <v>0</v>
      </c>
      <c r="Y556" s="464">
        <f>Tabla13[[#This Row],[ID]]</f>
        <v>545</v>
      </c>
    </row>
    <row r="557" spans="1:25" s="464" customFormat="1" ht="24" x14ac:dyDescent="0.25">
      <c r="A557" s="453">
        <v>546</v>
      </c>
      <c r="B557" s="454" t="s">
        <v>735</v>
      </c>
      <c r="C557" s="469" t="s">
        <v>2988</v>
      </c>
      <c r="D557" s="456" t="s">
        <v>651</v>
      </c>
      <c r="E557" s="457" t="s">
        <v>737</v>
      </c>
      <c r="F557" s="458">
        <v>1</v>
      </c>
      <c r="G557" s="457" t="s">
        <v>260</v>
      </c>
      <c r="H557" s="460"/>
      <c r="I557" s="460" t="s">
        <v>2641</v>
      </c>
      <c r="J557" s="460"/>
      <c r="K557" s="460" t="s">
        <v>1411</v>
      </c>
      <c r="L557" s="460">
        <v>60005581</v>
      </c>
      <c r="M557" s="461">
        <v>45678</v>
      </c>
      <c r="N557" s="461">
        <v>45688</v>
      </c>
      <c r="O557" s="476" t="s">
        <v>545</v>
      </c>
      <c r="P557" s="463" t="str">
        <f>IF(LEFT(B557,5)="09735",
    IF(ISNA(VLOOKUP(Tabla13[[#This Row],[Apoyo]],'LM SAP'!A:G,1,FALSE)),
        "No Disponible",
        IF(VLOOKUP(Tabla13[[#This Row],[Apoyo]],'LM SAP'!A:AD,9,FALSE)="RR",
            "Disponible",
            "Firmas SAP"
        )
    ),
    "CONSULTAR"
)</f>
        <v>No Disponible</v>
      </c>
      <c r="Q557" s="460" t="str">
        <f>MID(Tabla13[[#This Row],[Código Indra]],1,13)</f>
        <v>0973545210306</v>
      </c>
      <c r="R557" s="464" t="str">
        <f>IF(ISNA(VLOOKUP(Tabla13[[#This Row],[Código Indra]],#REF!,1,FALSE)),"NO", "SI")</f>
        <v>SI</v>
      </c>
      <c r="S557" s="460" t="str">
        <f>IF(ISNA(VLOOKUP(Tabla13[[#This Row],[Código Indra]],Tabla132[[Código INDRA]:[Nombre]],1,FALSE)),"NO", "SI")</f>
        <v>NO</v>
      </c>
      <c r="T557" s="465" t="s">
        <v>2005</v>
      </c>
      <c r="U557" s="464" t="s">
        <v>256</v>
      </c>
      <c r="V557" s="464" t="e">
        <f>VLOOKUP(Tabla13[[#This Row],[Apoyo]],'LM SAP'!A:I,9,FALSE)</f>
        <v>#N/A</v>
      </c>
      <c r="X557" s="466">
        <v>0</v>
      </c>
      <c r="Y557" s="464">
        <f>Tabla13[[#This Row],[ID]]</f>
        <v>546</v>
      </c>
    </row>
    <row r="558" spans="1:25" s="464" customFormat="1" ht="24" x14ac:dyDescent="0.25">
      <c r="A558" s="453">
        <v>547</v>
      </c>
      <c r="B558" s="454" t="s">
        <v>738</v>
      </c>
      <c r="C558" s="469" t="s">
        <v>2989</v>
      </c>
      <c r="D558" s="456" t="s">
        <v>651</v>
      </c>
      <c r="E558" s="457" t="s">
        <v>740</v>
      </c>
      <c r="F558" s="458">
        <v>1</v>
      </c>
      <c r="G558" s="457" t="s">
        <v>260</v>
      </c>
      <c r="H558" s="460"/>
      <c r="I558" s="460" t="s">
        <v>2641</v>
      </c>
      <c r="J558" s="460"/>
      <c r="K558" s="460" t="s">
        <v>1411</v>
      </c>
      <c r="L558" s="460">
        <v>60005498</v>
      </c>
      <c r="M558" s="461">
        <v>45665</v>
      </c>
      <c r="N558" s="461">
        <v>45681</v>
      </c>
      <c r="O558" s="470" t="s">
        <v>300</v>
      </c>
      <c r="P558" s="463" t="str">
        <f>IF(LEFT(B558,5)="09735",
    IF(ISNA(VLOOKUP(Tabla13[[#This Row],[Apoyo]],'LM SAP'!A:G,1,FALSE)),
        "No Disponible",
        IF(VLOOKUP(Tabla13[[#This Row],[Apoyo]],'LM SAP'!A:AD,9,FALSE)="RR",
            "Disponible",
            "Firmas SAP"
        )
    ),
    "CONSULTAR"
)</f>
        <v>No Disponible</v>
      </c>
      <c r="Q558" s="460" t="str">
        <f>MID(Tabla13[[#This Row],[Código Indra]],1,13)</f>
        <v>0973545210307</v>
      </c>
      <c r="R558" s="464" t="str">
        <f>IF(ISNA(VLOOKUP(Tabla13[[#This Row],[Código Indra]],#REF!,1,FALSE)),"NO", "SI")</f>
        <v>SI</v>
      </c>
      <c r="S558" s="460" t="str">
        <f>IF(ISNA(VLOOKUP(Tabla13[[#This Row],[Código Indra]],Tabla132[[Código INDRA]:[Nombre]],1,FALSE)),"NO", "SI")</f>
        <v>NO</v>
      </c>
      <c r="T558" s="465" t="s">
        <v>2005</v>
      </c>
      <c r="U558" s="464" t="s">
        <v>256</v>
      </c>
      <c r="V558" s="464" t="e">
        <f>VLOOKUP(Tabla13[[#This Row],[Apoyo]],'LM SAP'!A:I,9,FALSE)</f>
        <v>#N/A</v>
      </c>
      <c r="X558" s="466">
        <v>0</v>
      </c>
      <c r="Y558" s="464">
        <f>Tabla13[[#This Row],[ID]]</f>
        <v>547</v>
      </c>
    </row>
    <row r="559" spans="1:25" s="464" customFormat="1" ht="24" x14ac:dyDescent="0.25">
      <c r="A559" s="453">
        <v>548</v>
      </c>
      <c r="B559" s="454" t="s">
        <v>741</v>
      </c>
      <c r="C559" s="469" t="s">
        <v>2990</v>
      </c>
      <c r="D559" s="456" t="s">
        <v>651</v>
      </c>
      <c r="E559" s="457" t="s">
        <v>743</v>
      </c>
      <c r="F559" s="458">
        <v>1</v>
      </c>
      <c r="G559" s="457" t="s">
        <v>260</v>
      </c>
      <c r="H559" s="460"/>
      <c r="I559" s="460" t="s">
        <v>2641</v>
      </c>
      <c r="J559" s="460"/>
      <c r="K559" s="460" t="s">
        <v>1411</v>
      </c>
      <c r="L559" s="460">
        <v>60005499</v>
      </c>
      <c r="M559" s="461">
        <v>45665</v>
      </c>
      <c r="N559" s="461">
        <v>45681</v>
      </c>
      <c r="O559" s="470" t="s">
        <v>300</v>
      </c>
      <c r="P559" s="463" t="str">
        <f>IF(LEFT(B559,5)="09735",
    IF(ISNA(VLOOKUP(Tabla13[[#This Row],[Apoyo]],'LM SAP'!A:G,1,FALSE)),
        "No Disponible",
        IF(VLOOKUP(Tabla13[[#This Row],[Apoyo]],'LM SAP'!A:AD,9,FALSE)="RR",
            "Disponible",
            "Firmas SAP"
        )
    ),
    "CONSULTAR"
)</f>
        <v>No Disponible</v>
      </c>
      <c r="Q559" s="460" t="str">
        <f>MID(Tabla13[[#This Row],[Código Indra]],1,13)</f>
        <v>0973545210308</v>
      </c>
      <c r="R559" s="464" t="str">
        <f>IF(ISNA(VLOOKUP(Tabla13[[#This Row],[Código Indra]],#REF!,1,FALSE)),"NO", "SI")</f>
        <v>SI</v>
      </c>
      <c r="S559" s="460" t="str">
        <f>IF(ISNA(VLOOKUP(Tabla13[[#This Row],[Código Indra]],Tabla132[[Código INDRA]:[Nombre]],1,FALSE)),"NO", "SI")</f>
        <v>NO</v>
      </c>
      <c r="T559" s="465" t="s">
        <v>2005</v>
      </c>
      <c r="U559" s="464" t="s">
        <v>256</v>
      </c>
      <c r="V559" s="464" t="e">
        <f>VLOOKUP(Tabla13[[#This Row],[Apoyo]],'LM SAP'!A:I,9,FALSE)</f>
        <v>#N/A</v>
      </c>
      <c r="X559" s="466">
        <v>0</v>
      </c>
      <c r="Y559" s="464">
        <f>Tabla13[[#This Row],[ID]]</f>
        <v>548</v>
      </c>
    </row>
    <row r="560" spans="1:25" s="464" customFormat="1" ht="24" x14ac:dyDescent="0.25">
      <c r="A560" s="453">
        <v>549</v>
      </c>
      <c r="B560" s="454" t="s">
        <v>744</v>
      </c>
      <c r="C560" s="469" t="s">
        <v>2991</v>
      </c>
      <c r="D560" s="456" t="s">
        <v>651</v>
      </c>
      <c r="E560" s="457" t="s">
        <v>746</v>
      </c>
      <c r="F560" s="458">
        <v>1</v>
      </c>
      <c r="G560" s="459"/>
      <c r="H560" s="460"/>
      <c r="I560" s="460" t="s">
        <v>2641</v>
      </c>
      <c r="J560" s="460"/>
      <c r="K560" s="460" t="s">
        <v>1411</v>
      </c>
      <c r="L560" s="460">
        <v>60005557</v>
      </c>
      <c r="M560" s="461">
        <v>45678</v>
      </c>
      <c r="N560" s="461">
        <v>45685</v>
      </c>
      <c r="O560" s="470"/>
      <c r="P560" s="463" t="str">
        <f>IF(LEFT(B560,5)="09735",
    IF(ISNA(VLOOKUP(Tabla13[[#This Row],[Apoyo]],'LM SAP'!A:G,1,FALSE)),
        "No Disponible",
        IF(VLOOKUP(Tabla13[[#This Row],[Apoyo]],'LM SAP'!A:AD,9,FALSE)="RR",
            "Disponible",
            "Firmas SAP"
        )
    ),
    "CONSULTAR"
)</f>
        <v>No Disponible</v>
      </c>
      <c r="Q560" s="460" t="str">
        <f>MID(Tabla13[[#This Row],[Código Indra]],1,13)</f>
        <v>0973545210401</v>
      </c>
      <c r="R560" s="464" t="str">
        <f>IF(ISNA(VLOOKUP(Tabla13[[#This Row],[Código Indra]],#REF!,1,FALSE)),"NO", "SI")</f>
        <v>SI</v>
      </c>
      <c r="S560" s="460" t="str">
        <f>IF(ISNA(VLOOKUP(Tabla13[[#This Row],[Código Indra]],Tabla132[[Código INDRA]:[Nombre]],1,FALSE)),"NO", "SI")</f>
        <v>NO</v>
      </c>
      <c r="T560" s="465" t="s">
        <v>2005</v>
      </c>
      <c r="U560" s="464" t="s">
        <v>256</v>
      </c>
      <c r="V560" s="464" t="e">
        <f>VLOOKUP(Tabla13[[#This Row],[Apoyo]],'LM SAP'!A:I,9,FALSE)</f>
        <v>#N/A</v>
      </c>
      <c r="X560" s="466">
        <v>0</v>
      </c>
      <c r="Y560" s="464">
        <f>Tabla13[[#This Row],[ID]]</f>
        <v>549</v>
      </c>
    </row>
    <row r="561" spans="1:25" s="464" customFormat="1" ht="24" x14ac:dyDescent="0.25">
      <c r="A561" s="453">
        <v>550</v>
      </c>
      <c r="B561" s="454" t="s">
        <v>747</v>
      </c>
      <c r="C561" s="469" t="s">
        <v>2992</v>
      </c>
      <c r="D561" s="456" t="s">
        <v>651</v>
      </c>
      <c r="E561" s="457" t="s">
        <v>749</v>
      </c>
      <c r="F561" s="458">
        <v>1</v>
      </c>
      <c r="G561" s="459"/>
      <c r="H561" s="460"/>
      <c r="I561" s="460" t="s">
        <v>2641</v>
      </c>
      <c r="J561" s="460"/>
      <c r="K561" s="460" t="s">
        <v>1411</v>
      </c>
      <c r="L561" s="460">
        <v>60005558</v>
      </c>
      <c r="M561" s="461">
        <v>45678</v>
      </c>
      <c r="N561" s="461">
        <v>45685</v>
      </c>
      <c r="O561" s="470"/>
      <c r="P561" s="463" t="str">
        <f>IF(LEFT(B561,5)="09735",
    IF(ISNA(VLOOKUP(Tabla13[[#This Row],[Apoyo]],'LM SAP'!A:G,1,FALSE)),
        "No Disponible",
        IF(VLOOKUP(Tabla13[[#This Row],[Apoyo]],'LM SAP'!A:AD,9,FALSE)="RR",
            "Disponible",
            "Firmas SAP"
        )
    ),
    "CONSULTAR"
)</f>
        <v>No Disponible</v>
      </c>
      <c r="Q561" s="460" t="str">
        <f>MID(Tabla13[[#This Row],[Código Indra]],1,13)</f>
        <v>0973545210501</v>
      </c>
      <c r="R561" s="464" t="str">
        <f>IF(ISNA(VLOOKUP(Tabla13[[#This Row],[Código Indra]],#REF!,1,FALSE)),"NO", "SI")</f>
        <v>SI</v>
      </c>
      <c r="S561" s="460" t="str">
        <f>IF(ISNA(VLOOKUP(Tabla13[[#This Row],[Código Indra]],Tabla132[[Código INDRA]:[Nombre]],1,FALSE)),"NO", "SI")</f>
        <v>NO</v>
      </c>
      <c r="T561" s="465" t="s">
        <v>2005</v>
      </c>
      <c r="U561" s="464" t="s">
        <v>256</v>
      </c>
      <c r="V561" s="464" t="e">
        <f>VLOOKUP(Tabla13[[#This Row],[Apoyo]],'LM SAP'!A:I,9,FALSE)</f>
        <v>#N/A</v>
      </c>
      <c r="X561" s="466">
        <v>0</v>
      </c>
      <c r="Y561" s="464">
        <f>Tabla13[[#This Row],[ID]]</f>
        <v>550</v>
      </c>
    </row>
    <row r="562" spans="1:25" s="464" customFormat="1" ht="24" x14ac:dyDescent="0.25">
      <c r="A562" s="453">
        <v>551</v>
      </c>
      <c r="B562" s="480" t="s">
        <v>750</v>
      </c>
      <c r="C562" s="469" t="s">
        <v>2993</v>
      </c>
      <c r="D562" s="456" t="s">
        <v>651</v>
      </c>
      <c r="E562" s="457" t="s">
        <v>752</v>
      </c>
      <c r="F562" s="458">
        <v>1</v>
      </c>
      <c r="G562" s="459" t="s">
        <v>260</v>
      </c>
      <c r="H562" s="460"/>
      <c r="I562" s="460" t="s">
        <v>2641</v>
      </c>
      <c r="J562" s="460"/>
      <c r="K562" s="460" t="s">
        <v>1411</v>
      </c>
      <c r="L562" s="460">
        <v>60005504</v>
      </c>
      <c r="M562" s="461">
        <v>45665</v>
      </c>
      <c r="N562" s="461">
        <v>45674</v>
      </c>
      <c r="O562" s="470" t="s">
        <v>300</v>
      </c>
      <c r="P562" s="463" t="str">
        <f>IF(LEFT(B562,5)="09735",
    IF(ISNA(VLOOKUP(Tabla13[[#This Row],[Apoyo]],'LM SAP'!A:G,1,FALSE)),
        "No Disponible",
        IF(VLOOKUP(Tabla13[[#This Row],[Apoyo]],'LM SAP'!A:AD,9,FALSE)="RR",
            "Disponible",
            "Firmas SAP"
        )
    ),
    "CONSULTAR"
)</f>
        <v>No Disponible</v>
      </c>
      <c r="Q562" s="460" t="str">
        <f>MID(Tabla13[[#This Row],[Código Indra]],1,13)</f>
        <v>0973545210601</v>
      </c>
      <c r="R562" s="464" t="str">
        <f>IF(ISNA(VLOOKUP(Tabla13[[#This Row],[Código Indra]],#REF!,1,FALSE)),"NO", "SI")</f>
        <v>SI</v>
      </c>
      <c r="S562" s="460" t="str">
        <f>IF(ISNA(VLOOKUP(Tabla13[[#This Row],[Código Indra]],Tabla132[[Código INDRA]:[Nombre]],1,FALSE)),"NO", "SI")</f>
        <v>NO</v>
      </c>
      <c r="T562" s="465" t="s">
        <v>2005</v>
      </c>
      <c r="U562" s="464" t="s">
        <v>256</v>
      </c>
      <c r="V562" s="464" t="e">
        <f>VLOOKUP(Tabla13[[#This Row],[Apoyo]],'LM SAP'!A:I,9,FALSE)</f>
        <v>#N/A</v>
      </c>
      <c r="X562" s="466"/>
      <c r="Y562" s="464">
        <f>Tabla13[[#This Row],[ID]]</f>
        <v>551</v>
      </c>
    </row>
    <row r="563" spans="1:25" s="464" customFormat="1" ht="24" x14ac:dyDescent="0.25">
      <c r="A563" s="453">
        <v>552</v>
      </c>
      <c r="B563" s="454" t="s">
        <v>753</v>
      </c>
      <c r="C563" s="469" t="s">
        <v>2994</v>
      </c>
      <c r="D563" s="456" t="s">
        <v>651</v>
      </c>
      <c r="E563" s="457" t="s">
        <v>755</v>
      </c>
      <c r="F563" s="458">
        <v>1</v>
      </c>
      <c r="G563" s="459" t="s">
        <v>260</v>
      </c>
      <c r="H563" s="460"/>
      <c r="I563" s="460" t="s">
        <v>2641</v>
      </c>
      <c r="J563" s="460"/>
      <c r="K563" s="460" t="s">
        <v>1411</v>
      </c>
      <c r="L563" s="460">
        <v>60005503</v>
      </c>
      <c r="M563" s="461">
        <v>45665</v>
      </c>
      <c r="N563" s="461">
        <v>45674</v>
      </c>
      <c r="O563" s="470" t="s">
        <v>300</v>
      </c>
      <c r="P563" s="463" t="str">
        <f>IF(LEFT(B563,5)="09735",
    IF(ISNA(VLOOKUP(Tabla13[[#This Row],[Apoyo]],'LM SAP'!A:G,1,FALSE)),
        "No Disponible",
        IF(VLOOKUP(Tabla13[[#This Row],[Apoyo]],'LM SAP'!A:AD,9,FALSE)="RR",
            "Disponible",
            "Firmas SAP"
        )
    ),
    "CONSULTAR"
)</f>
        <v>No Disponible</v>
      </c>
      <c r="Q563" s="460" t="str">
        <f>MID(Tabla13[[#This Row],[Código Indra]],1,13)</f>
        <v>0973545210701</v>
      </c>
      <c r="R563" s="464" t="str">
        <f>IF(ISNA(VLOOKUP(Tabla13[[#This Row],[Código Indra]],#REF!,1,FALSE)),"NO", "SI")</f>
        <v>SI</v>
      </c>
      <c r="S563" s="460" t="str">
        <f>IF(ISNA(VLOOKUP(Tabla13[[#This Row],[Código Indra]],Tabla132[[Código INDRA]:[Nombre]],1,FALSE)),"NO", "SI")</f>
        <v>NO</v>
      </c>
      <c r="T563" s="465" t="s">
        <v>2005</v>
      </c>
      <c r="U563" s="464" t="s">
        <v>256</v>
      </c>
      <c r="V563" s="464" t="e">
        <f>VLOOKUP(Tabla13[[#This Row],[Apoyo]],'LM SAP'!A:I,9,FALSE)</f>
        <v>#N/A</v>
      </c>
      <c r="X563" s="466">
        <v>0</v>
      </c>
      <c r="Y563" s="464">
        <f>Tabla13[[#This Row],[ID]]</f>
        <v>552</v>
      </c>
    </row>
    <row r="564" spans="1:25" s="464" customFormat="1" ht="36" x14ac:dyDescent="0.25">
      <c r="A564" s="453">
        <v>553</v>
      </c>
      <c r="B564" s="454" t="s">
        <v>756</v>
      </c>
      <c r="C564" s="469" t="s">
        <v>2995</v>
      </c>
      <c r="D564" s="456" t="s">
        <v>651</v>
      </c>
      <c r="E564" s="457" t="s">
        <v>758</v>
      </c>
      <c r="F564" s="458">
        <v>1</v>
      </c>
      <c r="G564" s="459" t="s">
        <v>260</v>
      </c>
      <c r="H564" s="460"/>
      <c r="I564" s="460" t="s">
        <v>2641</v>
      </c>
      <c r="J564" s="460"/>
      <c r="K564" s="460" t="s">
        <v>1411</v>
      </c>
      <c r="L564" s="559">
        <v>60005774</v>
      </c>
      <c r="M564" s="461">
        <v>45693</v>
      </c>
      <c r="N564" s="461">
        <v>45705</v>
      </c>
      <c r="O564" s="494" t="s">
        <v>2996</v>
      </c>
      <c r="P564" s="463" t="str">
        <f>IF(LEFT(B564,5)="09735",
    IF(ISNA(VLOOKUP(Tabla13[[#This Row],[Apoyo]],'LM SAP'!A:G,1,FALSE)),
        "No Disponible",
        IF(VLOOKUP(Tabla13[[#This Row],[Apoyo]],'LM SAP'!A:AD,9,FALSE)="RR",
            "Disponible",
            "Firmas SAP"
        )
    ),
    "CONSULTAR"
)</f>
        <v>No Disponible</v>
      </c>
      <c r="Q564" s="460" t="str">
        <f>MID(Tabla13[[#This Row],[Código Indra]],1,13)</f>
        <v>0973545210801</v>
      </c>
      <c r="R564" s="464" t="str">
        <f>IF(ISNA(VLOOKUP(Tabla13[[#This Row],[Código Indra]],#REF!,1,FALSE)),"NO", "SI")</f>
        <v>SI</v>
      </c>
      <c r="S564" s="460" t="str">
        <f>IF(ISNA(VLOOKUP(Tabla13[[#This Row],[Código Indra]],Tabla132[[Código INDRA]:[Nombre]],1,FALSE)),"NO", "SI")</f>
        <v>NO</v>
      </c>
      <c r="T564" s="465" t="s">
        <v>2997</v>
      </c>
      <c r="U564" s="464" t="s">
        <v>256</v>
      </c>
      <c r="V564" s="464" t="e">
        <f>VLOOKUP(Tabla13[[#This Row],[Apoyo]],'LM SAP'!A:I,9,FALSE)</f>
        <v>#N/A</v>
      </c>
      <c r="X564" s="466">
        <v>0</v>
      </c>
      <c r="Y564" s="464">
        <f>Tabla13[[#This Row],[ID]]</f>
        <v>553</v>
      </c>
    </row>
    <row r="565" spans="1:25" s="464" customFormat="1" ht="24" x14ac:dyDescent="0.25">
      <c r="A565" s="453">
        <v>554</v>
      </c>
      <c r="B565" s="454" t="s">
        <v>759</v>
      </c>
      <c r="C565" s="469" t="s">
        <v>2998</v>
      </c>
      <c r="D565" s="456" t="s">
        <v>651</v>
      </c>
      <c r="E565" s="457" t="s">
        <v>761</v>
      </c>
      <c r="F565" s="458">
        <v>1</v>
      </c>
      <c r="G565" s="459" t="s">
        <v>260</v>
      </c>
      <c r="H565" s="460"/>
      <c r="I565" s="460" t="s">
        <v>2641</v>
      </c>
      <c r="J565" s="460"/>
      <c r="K565" s="460" t="s">
        <v>1411</v>
      </c>
      <c r="L565" s="460">
        <v>60005502</v>
      </c>
      <c r="M565" s="461">
        <v>45665</v>
      </c>
      <c r="N565" s="461">
        <v>45674</v>
      </c>
      <c r="O565" s="470" t="s">
        <v>2652</v>
      </c>
      <c r="P565" s="463" t="str">
        <f>IF(LEFT(B565,5)="09735",
    IF(ISNA(VLOOKUP(Tabla13[[#This Row],[Apoyo]],'LM SAP'!A:G,1,FALSE)),
        "No Disponible",
        IF(VLOOKUP(Tabla13[[#This Row],[Apoyo]],'LM SAP'!A:AD,9,FALSE)="RR",
            "Disponible",
            "Firmas SAP"
        )
    ),
    "CONSULTAR"
)</f>
        <v>No Disponible</v>
      </c>
      <c r="Q565" s="460" t="str">
        <f>MID(Tabla13[[#This Row],[Código Indra]],1,13)</f>
        <v>0973545210901</v>
      </c>
      <c r="R565" s="464" t="str">
        <f>IF(ISNA(VLOOKUP(Tabla13[[#This Row],[Código Indra]],#REF!,1,FALSE)),"NO", "SI")</f>
        <v>SI</v>
      </c>
      <c r="S565" s="460" t="str">
        <f>IF(ISNA(VLOOKUP(Tabla13[[#This Row],[Código Indra]],Tabla132[[Código INDRA]:[Nombre]],1,FALSE)),"NO", "SI")</f>
        <v>NO</v>
      </c>
      <c r="T565" s="465" t="s">
        <v>2005</v>
      </c>
      <c r="U565" s="464" t="s">
        <v>256</v>
      </c>
      <c r="V565" s="464" t="e">
        <f>VLOOKUP(Tabla13[[#This Row],[Apoyo]],'LM SAP'!A:I,9,FALSE)</f>
        <v>#N/A</v>
      </c>
      <c r="X565" s="466">
        <v>0</v>
      </c>
      <c r="Y565" s="464">
        <f>Tabla13[[#This Row],[ID]]</f>
        <v>554</v>
      </c>
    </row>
    <row r="566" spans="1:25" s="464" customFormat="1" ht="24" x14ac:dyDescent="0.25">
      <c r="A566" s="453">
        <v>555</v>
      </c>
      <c r="B566" s="454" t="s">
        <v>762</v>
      </c>
      <c r="C566" s="469" t="s">
        <v>2999</v>
      </c>
      <c r="D566" s="456" t="s">
        <v>651</v>
      </c>
      <c r="E566" s="457" t="s">
        <v>764</v>
      </c>
      <c r="F566" s="458">
        <v>1</v>
      </c>
      <c r="G566" s="459" t="s">
        <v>260</v>
      </c>
      <c r="H566" s="460"/>
      <c r="I566" s="460" t="s">
        <v>2641</v>
      </c>
      <c r="J566" s="460"/>
      <c r="K566" s="553" t="s">
        <v>1411</v>
      </c>
      <c r="L566" s="460">
        <v>60005501</v>
      </c>
      <c r="M566" s="461">
        <v>45665</v>
      </c>
      <c r="N566" s="461">
        <v>45674</v>
      </c>
      <c r="O566" s="470" t="s">
        <v>2652</v>
      </c>
      <c r="P566" s="463" t="str">
        <f>IF(LEFT(B566,5)="09735",
    IF(ISNA(VLOOKUP(Tabla13[[#This Row],[Apoyo]],'LM SAP'!A:G,1,FALSE)),
        "No Disponible",
        IF(VLOOKUP(Tabla13[[#This Row],[Apoyo]],'LM SAP'!A:AD,9,FALSE)="RR",
            "Disponible",
            "Firmas SAP"
        )
    ),
    "CONSULTAR"
)</f>
        <v>No Disponible</v>
      </c>
      <c r="Q566" s="460" t="str">
        <f>MID(Tabla13[[#This Row],[Código Indra]],1,13)</f>
        <v>0973545210902</v>
      </c>
      <c r="R566" s="464" t="str">
        <f>IF(ISNA(VLOOKUP(Tabla13[[#This Row],[Código Indra]],#REF!,1,FALSE)),"NO", "SI")</f>
        <v>SI</v>
      </c>
      <c r="S566" s="460" t="str">
        <f>IF(ISNA(VLOOKUP(Tabla13[[#This Row],[Código Indra]],Tabla132[[Código INDRA]:[Nombre]],1,FALSE)),"NO", "SI")</f>
        <v>NO</v>
      </c>
      <c r="T566" s="465" t="s">
        <v>2005</v>
      </c>
      <c r="U566" s="464" t="s">
        <v>256</v>
      </c>
      <c r="V566" s="464" t="e">
        <f>VLOOKUP(Tabla13[[#This Row],[Apoyo]],'LM SAP'!A:I,9,FALSE)</f>
        <v>#N/A</v>
      </c>
      <c r="X566" s="466">
        <v>0</v>
      </c>
      <c r="Y566" s="464">
        <f>Tabla13[[#This Row],[ID]]</f>
        <v>555</v>
      </c>
    </row>
    <row r="567" spans="1:25" s="464" customFormat="1" ht="24" x14ac:dyDescent="0.25">
      <c r="A567" s="453">
        <v>556</v>
      </c>
      <c r="B567" s="454" t="s">
        <v>765</v>
      </c>
      <c r="C567" s="469" t="s">
        <v>3000</v>
      </c>
      <c r="D567" s="456" t="s">
        <v>651</v>
      </c>
      <c r="E567" s="457" t="s">
        <v>767</v>
      </c>
      <c r="F567" s="458">
        <v>1</v>
      </c>
      <c r="G567" s="459" t="s">
        <v>260</v>
      </c>
      <c r="H567" s="460"/>
      <c r="I567" s="460" t="s">
        <v>2641</v>
      </c>
      <c r="J567" s="460"/>
      <c r="K567" s="553" t="s">
        <v>1411</v>
      </c>
      <c r="L567" s="460">
        <v>60005500</v>
      </c>
      <c r="M567" s="461">
        <v>45665</v>
      </c>
      <c r="N567" s="461">
        <v>45674</v>
      </c>
      <c r="O567" s="470" t="s">
        <v>2652</v>
      </c>
      <c r="P567" s="463" t="str">
        <f>IF(LEFT(B567,5)="09735",
    IF(ISNA(VLOOKUP(Tabla13[[#This Row],[Apoyo]],'LM SAP'!A:G,1,FALSE)),
        "No Disponible",
        IF(VLOOKUP(Tabla13[[#This Row],[Apoyo]],'LM SAP'!A:AD,9,FALSE)="RR",
            "Disponible",
            "Firmas SAP"
        )
    ),
    "CONSULTAR"
)</f>
        <v>No Disponible</v>
      </c>
      <c r="Q567" s="460" t="str">
        <f>MID(Tabla13[[#This Row],[Código Indra]],1,13)</f>
        <v>0973545210903</v>
      </c>
      <c r="R567" s="464" t="str">
        <f>IF(ISNA(VLOOKUP(Tabla13[[#This Row],[Código Indra]],#REF!,1,FALSE)),"NO", "SI")</f>
        <v>SI</v>
      </c>
      <c r="S567" s="460" t="str">
        <f>IF(ISNA(VLOOKUP(Tabla13[[#This Row],[Código Indra]],Tabla132[[Código INDRA]:[Nombre]],1,FALSE)),"NO", "SI")</f>
        <v>NO</v>
      </c>
      <c r="T567" s="465" t="s">
        <v>2005</v>
      </c>
      <c r="U567" s="464" t="s">
        <v>256</v>
      </c>
      <c r="V567" s="464" t="e">
        <f>VLOOKUP(Tabla13[[#This Row],[Apoyo]],'LM SAP'!A:I,9,FALSE)</f>
        <v>#N/A</v>
      </c>
      <c r="X567" s="466">
        <v>0</v>
      </c>
      <c r="Y567" s="464">
        <f>Tabla13[[#This Row],[ID]]</f>
        <v>556</v>
      </c>
    </row>
    <row r="568" spans="1:25" s="464" customFormat="1" ht="24" x14ac:dyDescent="0.25">
      <c r="A568" s="453">
        <v>557</v>
      </c>
      <c r="B568" s="548" t="s">
        <v>440</v>
      </c>
      <c r="C568" s="560" t="s">
        <v>441</v>
      </c>
      <c r="D568" s="500" t="s">
        <v>182</v>
      </c>
      <c r="E568" s="501"/>
      <c r="F568" s="502">
        <v>1</v>
      </c>
      <c r="G568" s="503"/>
      <c r="H568" s="504"/>
      <c r="I568" s="504"/>
      <c r="J568" s="504"/>
      <c r="K568" s="553" t="s">
        <v>1411</v>
      </c>
      <c r="L568" s="460">
        <v>60004556</v>
      </c>
      <c r="M568" s="461">
        <v>45572</v>
      </c>
      <c r="N568" s="461">
        <v>45631</v>
      </c>
      <c r="O568" s="470" t="s">
        <v>443</v>
      </c>
      <c r="P568" s="463" t="str">
        <f>IF(LEFT(B568,5)="09735",
    IF(ISNA(VLOOKUP(Tabla13[[#This Row],[Apoyo]],'LM SAP'!A:G,1,FALSE)),
        "No Disponible",
        IF(VLOOKUP(Tabla13[[#This Row],[Apoyo]],'LM SAP'!A:AD,9,FALSE)="RR",
            "Disponible",
            "Firmas SAP"
        )
    ),
    "CONSULTAR"
)</f>
        <v>CONSULTAR</v>
      </c>
      <c r="Q568" s="460" t="str">
        <f>MID(Tabla13[[#This Row],[Código Indra]],1,13)</f>
        <v>0972825240500</v>
      </c>
      <c r="R568" s="464" t="str">
        <f>IF(ISNA(VLOOKUP(Tabla13[[#This Row],[Código Indra]],#REF!,1,FALSE)),"NO", "SI")</f>
        <v>SI</v>
      </c>
      <c r="S568" s="460" t="str">
        <f>IF(ISNA(VLOOKUP(Tabla13[[#This Row],[Código Indra]],Tabla132[[Código INDRA]:[Nombre]],1,FALSE)),"NO", "SI")</f>
        <v>NO</v>
      </c>
      <c r="T568" s="465"/>
      <c r="U568" s="464" t="s">
        <v>256</v>
      </c>
      <c r="V568" s="464" t="e">
        <f>VLOOKUP(Tabla13[[#This Row],[Apoyo]],'LM SAP'!A:I,9,FALSE)</f>
        <v>#N/A</v>
      </c>
      <c r="X568" s="466"/>
      <c r="Y568" s="464">
        <f>Tabla13[[#This Row],[ID]]</f>
        <v>557</v>
      </c>
    </row>
    <row r="569" spans="1:25" s="464" customFormat="1" x14ac:dyDescent="0.25">
      <c r="A569" s="453">
        <v>558</v>
      </c>
      <c r="B569" s="454" t="s">
        <v>901</v>
      </c>
      <c r="C569" s="469" t="s">
        <v>902</v>
      </c>
      <c r="D569" s="456"/>
      <c r="E569" s="457"/>
      <c r="F569" s="458">
        <v>1</v>
      </c>
      <c r="G569" s="459"/>
      <c r="H569" s="460"/>
      <c r="I569" s="460"/>
      <c r="J569" s="460" t="s">
        <v>474</v>
      </c>
      <c r="K569" s="553" t="s">
        <v>1411</v>
      </c>
      <c r="L569" s="460">
        <v>60004539</v>
      </c>
      <c r="M569" s="461">
        <v>45568</v>
      </c>
      <c r="N569" s="461">
        <v>45580</v>
      </c>
      <c r="O569" s="470" t="s">
        <v>281</v>
      </c>
      <c r="P569" s="463" t="str">
        <f>IF(LEFT(B569,5)="09735",
    IF(ISNA(VLOOKUP(Tabla13[[#This Row],[Apoyo]],'LM SAP'!A:G,1,FALSE)),
        "No Disponible",
        IF(VLOOKUP(Tabla13[[#This Row],[Apoyo]],'LM SAP'!A:AD,9,FALSE)="RR",
            "Disponible",
            "Firmas SAP"
        )
    ),
    "CONSULTAR"
)</f>
        <v>No Disponible</v>
      </c>
      <c r="Q569" s="460" t="str">
        <f>MID(Tabla13[[#This Row],[Código Indra]],1,13)</f>
        <v>0973521000000</v>
      </c>
      <c r="R569" s="464" t="str">
        <f>IF(ISNA(VLOOKUP(Tabla13[[#This Row],[Código Indra]],#REF!,1,FALSE)),"NO", "SI")</f>
        <v>SI</v>
      </c>
      <c r="S569" s="460" t="str">
        <f>IF(ISNA(VLOOKUP(Tabla13[[#This Row],[Código Indra]],Tabla132[[Código INDRA]:[Nombre]],1,FALSE)),"NO", "SI")</f>
        <v>NO</v>
      </c>
      <c r="T569" s="465"/>
      <c r="U569" s="511" t="s">
        <v>256</v>
      </c>
      <c r="V569" s="464" t="e">
        <f>VLOOKUP(Tabla13[[#This Row],[Apoyo]],'LM SAP'!A:I,9,FALSE)</f>
        <v>#N/A</v>
      </c>
      <c r="X569" s="466"/>
      <c r="Y569" s="464">
        <f>Tabla13[[#This Row],[ID]]</f>
        <v>558</v>
      </c>
    </row>
    <row r="570" spans="1:25" s="464" customFormat="1" ht="48" x14ac:dyDescent="0.25">
      <c r="A570" s="453">
        <v>559</v>
      </c>
      <c r="B570" s="480" t="s">
        <v>3001</v>
      </c>
      <c r="C570" s="469" t="s">
        <v>3002</v>
      </c>
      <c r="D570" s="456" t="s">
        <v>208</v>
      </c>
      <c r="E570" s="457" t="s">
        <v>3003</v>
      </c>
      <c r="F570" s="458">
        <v>1</v>
      </c>
      <c r="G570" s="514" t="s">
        <v>207</v>
      </c>
      <c r="H570" s="460"/>
      <c r="I570" s="460" t="s">
        <v>2251</v>
      </c>
      <c r="J570" s="460"/>
      <c r="K570" s="553" t="s">
        <v>1533</v>
      </c>
      <c r="L570" s="460">
        <v>60006835</v>
      </c>
      <c r="M570" s="461">
        <v>45798</v>
      </c>
      <c r="N570" s="461"/>
      <c r="O570" s="462" t="s">
        <v>3004</v>
      </c>
      <c r="P570" s="463" t="str">
        <f>IF(LEFT(B570,5)="09735",
    IF(ISNA(VLOOKUP(Tabla13[[#This Row],[Apoyo]],'LM SAP'!A:G,1,FALSE)),
        "No Disponible",
        IF(VLOOKUP(Tabla13[[#This Row],[Apoyo]],'LM SAP'!A:AD,9,FALSE)="RR",
            "Disponible",
            "Firmas SAP"
        )
    ),
    "CONSULTAR"
)</f>
        <v>No Disponible</v>
      </c>
      <c r="Q570" s="460" t="str">
        <f>MID(Tabla13[[#This Row],[Código Indra]],1,13)</f>
        <v>0973543067200</v>
      </c>
      <c r="R570" s="464" t="str">
        <f>IF(ISNA(VLOOKUP(Tabla13[[#This Row],[Código Indra]],#REF!,1,FALSE)),"NO", "SI")</f>
        <v>SI</v>
      </c>
      <c r="S570" s="460" t="str">
        <f>IF(ISNA(VLOOKUP(Tabla13[[#This Row],[Código Indra]],Tabla132[[Código INDRA]:[Nombre]],1,FALSE)),"NO", "SI")</f>
        <v>NO</v>
      </c>
      <c r="T570" s="465"/>
      <c r="U570" s="465" t="s">
        <v>256</v>
      </c>
      <c r="V570" s="464" t="e">
        <f>VLOOKUP(Tabla13[[#This Row],[Apoyo]],'LM SAP'!A:I,9,FALSE)</f>
        <v>#N/A</v>
      </c>
      <c r="X570" s="466"/>
      <c r="Y570" s="464">
        <f>Tabla13[[#This Row],[ID]]</f>
        <v>559</v>
      </c>
    </row>
    <row r="571" spans="1:25" s="464" customFormat="1" ht="48" x14ac:dyDescent="0.25">
      <c r="A571" s="453">
        <v>560</v>
      </c>
      <c r="B571" s="480" t="s">
        <v>3005</v>
      </c>
      <c r="C571" s="469" t="s">
        <v>3006</v>
      </c>
      <c r="D571" s="456" t="s">
        <v>208</v>
      </c>
      <c r="E571" s="457" t="s">
        <v>3007</v>
      </c>
      <c r="F571" s="458">
        <v>1</v>
      </c>
      <c r="G571" s="514" t="s">
        <v>207</v>
      </c>
      <c r="H571" s="460"/>
      <c r="I571" s="460" t="s">
        <v>2251</v>
      </c>
      <c r="J571" s="460"/>
      <c r="K571" s="553" t="s">
        <v>1533</v>
      </c>
      <c r="L571" s="460">
        <v>60006835</v>
      </c>
      <c r="M571" s="461">
        <v>45798</v>
      </c>
      <c r="N571" s="461"/>
      <c r="O571" s="462" t="s">
        <v>3008</v>
      </c>
      <c r="P571" s="463" t="str">
        <f>IF(LEFT(B571,5)="09735",
    IF(ISNA(VLOOKUP(Tabla13[[#This Row],[Apoyo]],'LM SAP'!A:G,1,FALSE)),
        "No Disponible",
        IF(VLOOKUP(Tabla13[[#This Row],[Apoyo]],'LM SAP'!A:AD,9,FALSE)="RR",
            "Disponible",
            "Firmas SAP"
        )
    ),
    "CONSULTAR"
)</f>
        <v>No Disponible</v>
      </c>
      <c r="Q571" s="460" t="str">
        <f>MID(Tabla13[[#This Row],[Código Indra]],1,13)</f>
        <v>0973543067300</v>
      </c>
      <c r="R571" s="464" t="str">
        <f>IF(ISNA(VLOOKUP(Tabla13[[#This Row],[Código Indra]],#REF!,1,FALSE)),"NO", "SI")</f>
        <v>SI</v>
      </c>
      <c r="S571" s="460" t="str">
        <f>IF(ISNA(VLOOKUP(Tabla13[[#This Row],[Código Indra]],Tabla132[[Código INDRA]:[Nombre]],1,FALSE)),"NO", "SI")</f>
        <v>NO</v>
      </c>
      <c r="T571" s="465"/>
      <c r="U571" s="465" t="s">
        <v>256</v>
      </c>
      <c r="V571" s="464" t="e">
        <f>VLOOKUP(Tabla13[[#This Row],[Apoyo]],'LM SAP'!A:I,9,FALSE)</f>
        <v>#N/A</v>
      </c>
      <c r="X571" s="466"/>
      <c r="Y571" s="464">
        <f>Tabla13[[#This Row],[ID]]</f>
        <v>560</v>
      </c>
    </row>
    <row r="572" spans="1:25" s="464" customFormat="1" ht="48" x14ac:dyDescent="0.25">
      <c r="A572" s="453">
        <v>561</v>
      </c>
      <c r="B572" s="480" t="s">
        <v>3009</v>
      </c>
      <c r="C572" s="469" t="s">
        <v>3010</v>
      </c>
      <c r="D572" s="456" t="s">
        <v>208</v>
      </c>
      <c r="E572" s="457" t="s">
        <v>3011</v>
      </c>
      <c r="F572" s="458">
        <v>1</v>
      </c>
      <c r="G572" s="514" t="s">
        <v>207</v>
      </c>
      <c r="H572" s="460"/>
      <c r="I572" s="460" t="s">
        <v>2251</v>
      </c>
      <c r="J572" s="460"/>
      <c r="K572" s="553" t="s">
        <v>1533</v>
      </c>
      <c r="L572" s="460">
        <v>60006835</v>
      </c>
      <c r="M572" s="461">
        <v>45798</v>
      </c>
      <c r="N572" s="461"/>
      <c r="O572" s="462" t="s">
        <v>3008</v>
      </c>
      <c r="P572" s="463" t="str">
        <f>IF(LEFT(B572,5)="09735",
    IF(ISNA(VLOOKUP(Tabla13[[#This Row],[Apoyo]],'LM SAP'!A:G,1,FALSE)),
        "No Disponible",
        IF(VLOOKUP(Tabla13[[#This Row],[Apoyo]],'LM SAP'!A:AD,9,FALSE)="RR",
            "Disponible",
            "Firmas SAP"
        )
    ),
    "CONSULTAR"
)</f>
        <v>No Disponible</v>
      </c>
      <c r="Q572" s="460" t="str">
        <f>MID(Tabla13[[#This Row],[Código Indra]],1,13)</f>
        <v>0973543067400</v>
      </c>
      <c r="R572" s="464" t="str">
        <f>IF(ISNA(VLOOKUP(Tabla13[[#This Row],[Código Indra]],#REF!,1,FALSE)),"NO", "SI")</f>
        <v>SI</v>
      </c>
      <c r="S572" s="460" t="str">
        <f>IF(ISNA(VLOOKUP(Tabla13[[#This Row],[Código Indra]],Tabla132[[Código INDRA]:[Nombre]],1,FALSE)),"NO", "SI")</f>
        <v>NO</v>
      </c>
      <c r="T572" s="465"/>
      <c r="U572" s="465" t="s">
        <v>256</v>
      </c>
      <c r="V572" s="464" t="e">
        <f>VLOOKUP(Tabla13[[#This Row],[Apoyo]],'LM SAP'!A:I,9,FALSE)</f>
        <v>#N/A</v>
      </c>
      <c r="X572" s="466"/>
      <c r="Y572" s="464">
        <f>Tabla13[[#This Row],[ID]]</f>
        <v>561</v>
      </c>
    </row>
    <row r="573" spans="1:25" s="464" customFormat="1" ht="60" x14ac:dyDescent="0.25">
      <c r="A573" s="453">
        <v>562</v>
      </c>
      <c r="B573" s="480" t="s">
        <v>3012</v>
      </c>
      <c r="C573" s="469" t="s">
        <v>3013</v>
      </c>
      <c r="D573" s="456" t="s">
        <v>208</v>
      </c>
      <c r="E573" s="457" t="s">
        <v>3014</v>
      </c>
      <c r="F573" s="458">
        <v>1</v>
      </c>
      <c r="G573" s="514" t="s">
        <v>207</v>
      </c>
      <c r="H573" s="460"/>
      <c r="I573" s="460" t="s">
        <v>2251</v>
      </c>
      <c r="J573" s="460"/>
      <c r="K573" s="553" t="s">
        <v>1532</v>
      </c>
      <c r="L573" s="460">
        <v>60006835</v>
      </c>
      <c r="M573" s="461">
        <v>45798</v>
      </c>
      <c r="N573" s="461"/>
      <c r="O573" s="462" t="s">
        <v>2786</v>
      </c>
      <c r="P573" s="463" t="str">
        <f>IF(LEFT(B573,5)="09735",
    IF(ISNA(VLOOKUP(Tabla13[[#This Row],[Apoyo]],'LM SAP'!A:G,1,FALSE)),
        "No Disponible",
        IF(VLOOKUP(Tabla13[[#This Row],[Apoyo]],'LM SAP'!A:AD,9,FALSE)="RR",
            "Disponible",
            "Firmas SAP"
        )
    ),
    "CONSULTAR"
)</f>
        <v>No Disponible</v>
      </c>
      <c r="Q573" s="460" t="str">
        <f>MID(Tabla13[[#This Row],[Código Indra]],1,13)</f>
        <v>0973543067500</v>
      </c>
      <c r="R573" s="464" t="str">
        <f>IF(ISNA(VLOOKUP(Tabla13[[#This Row],[Código Indra]],#REF!,1,FALSE)),"NO", "SI")</f>
        <v>SI</v>
      </c>
      <c r="S573" s="460" t="str">
        <f>IF(ISNA(VLOOKUP(Tabla13[[#This Row],[Código Indra]],Tabla132[[Código INDRA]:[Nombre]],1,FALSE)),"NO", "SI")</f>
        <v>NO</v>
      </c>
      <c r="T573" s="465"/>
      <c r="U573" s="465" t="s">
        <v>256</v>
      </c>
      <c r="V573" s="464" t="e">
        <f>VLOOKUP(Tabla13[[#This Row],[Apoyo]],'LM SAP'!A:I,9,FALSE)</f>
        <v>#N/A</v>
      </c>
      <c r="X573" s="466"/>
      <c r="Y573" s="464">
        <f>Tabla13[[#This Row],[ID]]</f>
        <v>562</v>
      </c>
    </row>
    <row r="574" spans="1:25" s="464" customFormat="1" ht="60" x14ac:dyDescent="0.25">
      <c r="A574" s="453">
        <v>563</v>
      </c>
      <c r="B574" s="480" t="s">
        <v>3015</v>
      </c>
      <c r="C574" s="469" t="s">
        <v>3016</v>
      </c>
      <c r="D574" s="456" t="s">
        <v>208</v>
      </c>
      <c r="E574" s="457" t="s">
        <v>3017</v>
      </c>
      <c r="F574" s="458">
        <v>1</v>
      </c>
      <c r="G574" s="514" t="s">
        <v>207</v>
      </c>
      <c r="H574" s="460"/>
      <c r="I574" s="460" t="s">
        <v>2251</v>
      </c>
      <c r="J574" s="460"/>
      <c r="K574" s="553" t="s">
        <v>1532</v>
      </c>
      <c r="L574" s="460">
        <v>60006835</v>
      </c>
      <c r="M574" s="461">
        <v>45798</v>
      </c>
      <c r="N574" s="461"/>
      <c r="O574" s="462" t="s">
        <v>2786</v>
      </c>
      <c r="P574" s="463" t="str">
        <f>IF(LEFT(B574,5)="09735",
    IF(ISNA(VLOOKUP(Tabla13[[#This Row],[Apoyo]],'LM SAP'!A:G,1,FALSE)),
        "No Disponible",
        IF(VLOOKUP(Tabla13[[#This Row],[Apoyo]],'LM SAP'!A:AD,9,FALSE)="RR",
            "Disponible",
            "Firmas SAP"
        )
    ),
    "CONSULTAR"
)</f>
        <v>No Disponible</v>
      </c>
      <c r="Q574" s="460" t="str">
        <f>MID(Tabla13[[#This Row],[Código Indra]],1,13)</f>
        <v>0973543067600</v>
      </c>
      <c r="R574" s="464" t="str">
        <f>IF(ISNA(VLOOKUP(Tabla13[[#This Row],[Código Indra]],#REF!,1,FALSE)),"NO", "SI")</f>
        <v>SI</v>
      </c>
      <c r="S574" s="460" t="str">
        <f>IF(ISNA(VLOOKUP(Tabla13[[#This Row],[Código Indra]],Tabla132[[Código INDRA]:[Nombre]],1,FALSE)),"NO", "SI")</f>
        <v>NO</v>
      </c>
      <c r="T574" s="465"/>
      <c r="U574" s="465" t="s">
        <v>256</v>
      </c>
      <c r="V574" s="464" t="e">
        <f>VLOOKUP(Tabla13[[#This Row],[Apoyo]],'LM SAP'!A:I,9,FALSE)</f>
        <v>#N/A</v>
      </c>
      <c r="X574" s="466"/>
      <c r="Y574" s="464">
        <f>Tabla13[[#This Row],[ID]]</f>
        <v>563</v>
      </c>
    </row>
    <row r="575" spans="1:25" s="464" customFormat="1" ht="60" x14ac:dyDescent="0.25">
      <c r="A575" s="453">
        <v>564</v>
      </c>
      <c r="B575" s="480" t="s">
        <v>3018</v>
      </c>
      <c r="C575" s="469" t="s">
        <v>3019</v>
      </c>
      <c r="D575" s="456" t="s">
        <v>208</v>
      </c>
      <c r="E575" s="457" t="s">
        <v>3020</v>
      </c>
      <c r="F575" s="458">
        <v>1</v>
      </c>
      <c r="G575" s="514" t="s">
        <v>207</v>
      </c>
      <c r="H575" s="460"/>
      <c r="I575" s="460" t="s">
        <v>2251</v>
      </c>
      <c r="J575" s="460"/>
      <c r="K575" s="553" t="s">
        <v>1532</v>
      </c>
      <c r="L575" s="460">
        <v>60006835</v>
      </c>
      <c r="M575" s="461">
        <v>45798</v>
      </c>
      <c r="N575" s="461"/>
      <c r="O575" s="462" t="s">
        <v>2786</v>
      </c>
      <c r="P575" s="463" t="str">
        <f>IF(LEFT(B575,5)="09735",
    IF(ISNA(VLOOKUP(Tabla13[[#This Row],[Apoyo]],'LM SAP'!A:G,1,FALSE)),
        "No Disponible",
        IF(VLOOKUP(Tabla13[[#This Row],[Apoyo]],'LM SAP'!A:AD,9,FALSE)="RR",
            "Disponible",
            "Firmas SAP"
        )
    ),
    "CONSULTAR"
)</f>
        <v>No Disponible</v>
      </c>
      <c r="Q575" s="460" t="str">
        <f>MID(Tabla13[[#This Row],[Código Indra]],1,13)</f>
        <v>0973543067700</v>
      </c>
      <c r="R575" s="464" t="str">
        <f>IF(ISNA(VLOOKUP(Tabla13[[#This Row],[Código Indra]],#REF!,1,FALSE)),"NO", "SI")</f>
        <v>SI</v>
      </c>
      <c r="S575" s="460" t="str">
        <f>IF(ISNA(VLOOKUP(Tabla13[[#This Row],[Código Indra]],Tabla132[[Código INDRA]:[Nombre]],1,FALSE)),"NO", "SI")</f>
        <v>NO</v>
      </c>
      <c r="T575" s="465"/>
      <c r="U575" s="465" t="s">
        <v>256</v>
      </c>
      <c r="V575" s="464" t="e">
        <f>VLOOKUP(Tabla13[[#This Row],[Apoyo]],'LM SAP'!A:I,9,FALSE)</f>
        <v>#N/A</v>
      </c>
      <c r="X575" s="466"/>
      <c r="Y575" s="464">
        <f>Tabla13[[#This Row],[ID]]</f>
        <v>564</v>
      </c>
    </row>
    <row r="576" spans="1:25" s="464" customFormat="1" ht="60" x14ac:dyDescent="0.25">
      <c r="A576" s="453">
        <v>565</v>
      </c>
      <c r="B576" s="480" t="s">
        <v>3021</v>
      </c>
      <c r="C576" s="469" t="s">
        <v>3022</v>
      </c>
      <c r="D576" s="456" t="s">
        <v>208</v>
      </c>
      <c r="E576" s="457" t="s">
        <v>3023</v>
      </c>
      <c r="F576" s="458">
        <v>1</v>
      </c>
      <c r="G576" s="514" t="s">
        <v>207</v>
      </c>
      <c r="H576" s="460"/>
      <c r="I576" s="460" t="s">
        <v>2251</v>
      </c>
      <c r="J576" s="460"/>
      <c r="K576" s="553" t="s">
        <v>1532</v>
      </c>
      <c r="L576" s="460">
        <v>60006835</v>
      </c>
      <c r="M576" s="461">
        <v>45798</v>
      </c>
      <c r="N576" s="461"/>
      <c r="O576" s="462" t="s">
        <v>2786</v>
      </c>
      <c r="P576" s="463" t="str">
        <f>IF(LEFT(B576,5)="09735",
    IF(ISNA(VLOOKUP(Tabla13[[#This Row],[Apoyo]],'LM SAP'!A:G,1,FALSE)),
        "No Disponible",
        IF(VLOOKUP(Tabla13[[#This Row],[Apoyo]],'LM SAP'!A:AD,9,FALSE)="RR",
            "Disponible",
            "Firmas SAP"
        )
    ),
    "CONSULTAR"
)</f>
        <v>No Disponible</v>
      </c>
      <c r="Q576" s="460" t="str">
        <f>MID(Tabla13[[#This Row],[Código Indra]],1,13)</f>
        <v>0973543067800</v>
      </c>
      <c r="R576" s="464" t="str">
        <f>IF(ISNA(VLOOKUP(Tabla13[[#This Row],[Código Indra]],#REF!,1,FALSE)),"NO", "SI")</f>
        <v>SI</v>
      </c>
      <c r="S576" s="460" t="str">
        <f>IF(ISNA(VLOOKUP(Tabla13[[#This Row],[Código Indra]],Tabla132[[Código INDRA]:[Nombre]],1,FALSE)),"NO", "SI")</f>
        <v>NO</v>
      </c>
      <c r="T576" s="465"/>
      <c r="U576" s="465" t="s">
        <v>256</v>
      </c>
      <c r="V576" s="464" t="e">
        <f>VLOOKUP(Tabla13[[#This Row],[Apoyo]],'LM SAP'!A:I,9,FALSE)</f>
        <v>#N/A</v>
      </c>
      <c r="X576" s="466"/>
      <c r="Y576" s="464">
        <f>Tabla13[[#This Row],[ID]]</f>
        <v>565</v>
      </c>
    </row>
    <row r="577" spans="1:25" s="464" customFormat="1" ht="60" x14ac:dyDescent="0.25">
      <c r="A577" s="453">
        <v>566</v>
      </c>
      <c r="B577" s="561" t="s">
        <v>3024</v>
      </c>
      <c r="C577" s="562" t="s">
        <v>3025</v>
      </c>
      <c r="D577" s="563" t="s">
        <v>208</v>
      </c>
      <c r="E577" s="564" t="s">
        <v>3026</v>
      </c>
      <c r="F577" s="565">
        <v>1</v>
      </c>
      <c r="G577" s="566" t="s">
        <v>207</v>
      </c>
      <c r="H577" s="460"/>
      <c r="I577" s="460" t="s">
        <v>2251</v>
      </c>
      <c r="J577" s="553"/>
      <c r="K577" s="553" t="s">
        <v>1532</v>
      </c>
      <c r="L577" s="460">
        <v>60006835</v>
      </c>
      <c r="M577" s="461">
        <v>45798</v>
      </c>
      <c r="N577" s="461"/>
      <c r="O577" s="462" t="s">
        <v>2786</v>
      </c>
      <c r="P577" s="463" t="str">
        <f>IF(LEFT(B577,5)="09735",
    IF(ISNA(VLOOKUP(Tabla13[[#This Row],[Apoyo]],'LM SAP'!A:G,1,FALSE)),
        "No Disponible",
        IF(VLOOKUP(Tabla13[[#This Row],[Apoyo]],'LM SAP'!A:AD,9,FALSE)="RR",
            "Disponible",
            "Firmas SAP"
        )
    ),
    "CONSULTAR"
)</f>
        <v>No Disponible</v>
      </c>
      <c r="Q577" s="553" t="str">
        <f>MID(Tabla13[[#This Row],[Código Indra]],1,13)</f>
        <v>0973543068000</v>
      </c>
      <c r="R577" s="464" t="str">
        <f>IF(ISNA(VLOOKUP(Tabla13[[#This Row],[Código Indra]],#REF!,1,FALSE)),"NO", "SI")</f>
        <v>SI</v>
      </c>
      <c r="S577" s="553" t="str">
        <f>IF(ISNA(VLOOKUP(Tabla13[[#This Row],[Código Indra]],Tabla132[[Código INDRA]:[Nombre]],1,FALSE)),"NO", "SI")</f>
        <v>NO</v>
      </c>
      <c r="T577" s="567"/>
      <c r="U577" s="465" t="s">
        <v>256</v>
      </c>
      <c r="V577" s="464" t="e">
        <f>VLOOKUP(Tabla13[[#This Row],[Apoyo]],'LM SAP'!A:I,9,FALSE)</f>
        <v>#N/A</v>
      </c>
      <c r="X577" s="466"/>
      <c r="Y577" s="464">
        <f>Tabla13[[#This Row],[ID]]</f>
        <v>566</v>
      </c>
    </row>
    <row r="578" spans="1:25" s="464" customFormat="1" ht="60" x14ac:dyDescent="0.25">
      <c r="A578" s="453">
        <v>567</v>
      </c>
      <c r="B578" s="561" t="s">
        <v>3027</v>
      </c>
      <c r="C578" s="562" t="s">
        <v>3028</v>
      </c>
      <c r="D578" s="563" t="s">
        <v>208</v>
      </c>
      <c r="E578" s="564" t="s">
        <v>3029</v>
      </c>
      <c r="F578" s="565">
        <v>1</v>
      </c>
      <c r="G578" s="566" t="s">
        <v>207</v>
      </c>
      <c r="H578" s="460"/>
      <c r="I578" s="460" t="s">
        <v>2251</v>
      </c>
      <c r="J578" s="553"/>
      <c r="K578" s="553" t="s">
        <v>1532</v>
      </c>
      <c r="L578" s="460">
        <v>60006835</v>
      </c>
      <c r="M578" s="461">
        <v>45798</v>
      </c>
      <c r="N578" s="461"/>
      <c r="O578" s="462" t="s">
        <v>2786</v>
      </c>
      <c r="P578" s="463" t="str">
        <f>IF(LEFT(B578,5)="09735",
    IF(ISNA(VLOOKUP(Tabla13[[#This Row],[Apoyo]],'LM SAP'!A:G,1,FALSE)),
        "No Disponible",
        IF(VLOOKUP(Tabla13[[#This Row],[Apoyo]],'LM SAP'!A:AD,9,FALSE)="RR",
            "Disponible",
            "Firmas SAP"
        )
    ),
    "CONSULTAR"
)</f>
        <v>No Disponible</v>
      </c>
      <c r="Q578" s="553" t="str">
        <f>MID(Tabla13[[#This Row],[Código Indra]],1,13)</f>
        <v>0973543068100</v>
      </c>
      <c r="R578" s="464" t="str">
        <f>IF(ISNA(VLOOKUP(Tabla13[[#This Row],[Código Indra]],#REF!,1,FALSE)),"NO", "SI")</f>
        <v>SI</v>
      </c>
      <c r="S578" s="553" t="str">
        <f>IF(ISNA(VLOOKUP(Tabla13[[#This Row],[Código Indra]],Tabla132[[Código INDRA]:[Nombre]],1,FALSE)),"NO", "SI")</f>
        <v>NO</v>
      </c>
      <c r="T578" s="567"/>
      <c r="U578" s="465" t="s">
        <v>256</v>
      </c>
      <c r="V578" s="464" t="e">
        <f>VLOOKUP(Tabla13[[#This Row],[Apoyo]],'LM SAP'!A:I,9,FALSE)</f>
        <v>#N/A</v>
      </c>
      <c r="X578" s="466"/>
      <c r="Y578" s="464">
        <f>Tabla13[[#This Row],[ID]]</f>
        <v>567</v>
      </c>
    </row>
    <row r="579" spans="1:25" s="464" customFormat="1" ht="60" x14ac:dyDescent="0.25">
      <c r="A579" s="453">
        <v>568</v>
      </c>
      <c r="B579" s="561" t="s">
        <v>3030</v>
      </c>
      <c r="C579" s="562" t="s">
        <v>3031</v>
      </c>
      <c r="D579" s="563" t="s">
        <v>208</v>
      </c>
      <c r="E579" s="564" t="s">
        <v>3032</v>
      </c>
      <c r="F579" s="565">
        <v>1</v>
      </c>
      <c r="G579" s="566" t="s">
        <v>207</v>
      </c>
      <c r="H579" s="553"/>
      <c r="I579" s="460" t="s">
        <v>2251</v>
      </c>
      <c r="J579" s="553"/>
      <c r="K579" s="553" t="s">
        <v>1532</v>
      </c>
      <c r="L579" s="460">
        <v>60006835</v>
      </c>
      <c r="M579" s="461">
        <v>45798</v>
      </c>
      <c r="N579" s="521"/>
      <c r="O579" s="462" t="s">
        <v>2786</v>
      </c>
      <c r="P579" s="568" t="str">
        <f>IF(LEFT(B579,5)="09735",
    IF(ISNA(VLOOKUP(Tabla13[[#This Row],[Apoyo]],'LM SAP'!A:G,1,FALSE)),
        "No Disponible",
        IF(VLOOKUP(Tabla13[[#This Row],[Apoyo]],'LM SAP'!A:AD,9,FALSE)="RR",
            "Disponible",
            "Firmas SAP"
        )
    ),
    "CONSULTAR"
)</f>
        <v>No Disponible</v>
      </c>
      <c r="Q579" s="553" t="str">
        <f>MID(Tabla13[[#This Row],[Código Indra]],1,13)</f>
        <v>0973543068200</v>
      </c>
      <c r="R579" s="511" t="str">
        <f>IF(ISNA(VLOOKUP(Tabla13[[#This Row],[Código Indra]],#REF!,1,FALSE)),"NO", "SI")</f>
        <v>SI</v>
      </c>
      <c r="S579" s="524" t="str">
        <f>IF(ISNA(VLOOKUP(Tabla13[[#This Row],[Código Indra]],Tabla132[[Código INDRA]:[Nombre]],1,FALSE)),"NO", "SI")</f>
        <v>NO</v>
      </c>
      <c r="T579" s="510"/>
      <c r="U579" s="465" t="s">
        <v>256</v>
      </c>
      <c r="V579" s="464" t="e">
        <f>VLOOKUP(Tabla13[[#This Row],[Apoyo]],'LM SAP'!A:I,9,FALSE)</f>
        <v>#N/A</v>
      </c>
      <c r="X579" s="466"/>
      <c r="Y579" s="464">
        <f>Tabla13[[#This Row],[ID]]</f>
        <v>568</v>
      </c>
    </row>
    <row r="580" spans="1:25" s="464" customFormat="1" ht="60" x14ac:dyDescent="0.25">
      <c r="A580" s="453">
        <v>569</v>
      </c>
      <c r="B580" s="561" t="s">
        <v>3033</v>
      </c>
      <c r="C580" s="562" t="s">
        <v>3034</v>
      </c>
      <c r="D580" s="563" t="s">
        <v>208</v>
      </c>
      <c r="E580" s="564" t="s">
        <v>3035</v>
      </c>
      <c r="F580" s="565">
        <v>1</v>
      </c>
      <c r="G580" s="566" t="s">
        <v>207</v>
      </c>
      <c r="H580" s="553"/>
      <c r="I580" s="553" t="s">
        <v>2251</v>
      </c>
      <c r="J580" s="553"/>
      <c r="K580" s="553" t="s">
        <v>1532</v>
      </c>
      <c r="L580" s="460">
        <v>60006835</v>
      </c>
      <c r="M580" s="461">
        <v>45798</v>
      </c>
      <c r="N580" s="461"/>
      <c r="O580" s="462" t="s">
        <v>2786</v>
      </c>
      <c r="P580" s="568" t="str">
        <f>IF(LEFT(B580,5)="09735",
    IF(ISNA(VLOOKUP(Tabla13[[#This Row],[Apoyo]],'LM SAP'!A:G,1,FALSE)),
        "No Disponible",
        IF(VLOOKUP(Tabla13[[#This Row],[Apoyo]],'LM SAP'!A:AD,9,FALSE)="RR",
            "Disponible",
            "Firmas SAP"
        )
    ),
    "CONSULTAR"
)</f>
        <v>No Disponible</v>
      </c>
      <c r="Q580" s="553" t="str">
        <f>MID(Tabla13[[#This Row],[Código Indra]],1,13)</f>
        <v>0973543068300</v>
      </c>
      <c r="R580" s="511" t="str">
        <f>IF(ISNA(VLOOKUP(Tabla13[[#This Row],[Código Indra]],#REF!,1,FALSE)),"NO", "SI")</f>
        <v>SI</v>
      </c>
      <c r="S580" s="524" t="str">
        <f>IF(ISNA(VLOOKUP(Tabla13[[#This Row],[Código Indra]],Tabla132[[Código INDRA]:[Nombre]],1,FALSE)),"NO", "SI")</f>
        <v>NO</v>
      </c>
      <c r="T580" s="510"/>
      <c r="U580" s="465" t="s">
        <v>256</v>
      </c>
      <c r="V580" s="464" t="e">
        <f>VLOOKUP(Tabla13[[#This Row],[Apoyo]],'LM SAP'!A:I,9,FALSE)</f>
        <v>#N/A</v>
      </c>
      <c r="X580" s="466"/>
      <c r="Y580" s="464">
        <f>Tabla13[[#This Row],[ID]]</f>
        <v>569</v>
      </c>
    </row>
    <row r="581" spans="1:25" s="464" customFormat="1" ht="60" x14ac:dyDescent="0.25">
      <c r="A581" s="453">
        <v>570</v>
      </c>
      <c r="B581" s="480" t="s">
        <v>3036</v>
      </c>
      <c r="C581" s="562" t="s">
        <v>3037</v>
      </c>
      <c r="D581" s="563" t="s">
        <v>208</v>
      </c>
      <c r="E581" s="457" t="s">
        <v>3038</v>
      </c>
      <c r="F581" s="565">
        <v>1</v>
      </c>
      <c r="G581" s="514" t="s">
        <v>207</v>
      </c>
      <c r="H581" s="460"/>
      <c r="I581" s="460" t="s">
        <v>2251</v>
      </c>
      <c r="J581" s="460"/>
      <c r="K581" s="553" t="s">
        <v>1532</v>
      </c>
      <c r="L581" s="460">
        <v>60006835</v>
      </c>
      <c r="M581" s="461">
        <v>45798</v>
      </c>
      <c r="N581" s="461"/>
      <c r="O581" s="462" t="s">
        <v>2786</v>
      </c>
      <c r="P581" s="463" t="str">
        <f>IF(LEFT(B581,5)="09735",
    IF(ISNA(VLOOKUP(Tabla13[[#This Row],[Apoyo]],'LM SAP'!A:G,1,FALSE)),
        "No Disponible",
        IF(VLOOKUP(Tabla13[[#This Row],[Apoyo]],'LM SAP'!A:AD,9,FALSE)="RR",
            "Disponible",
            "Firmas SAP"
        )
    ),
    "CONSULTAR"
)</f>
        <v>No Disponible</v>
      </c>
      <c r="Q581" s="460" t="str">
        <f>MID(Tabla13[[#This Row],[Código Indra]],1,13)</f>
        <v>0973543068400</v>
      </c>
      <c r="R581" s="464" t="str">
        <f>IF(ISNA(VLOOKUP(Tabla13[[#This Row],[Código Indra]],#REF!,1,FALSE)),"NO", "SI")</f>
        <v>SI</v>
      </c>
      <c r="S581" s="460" t="str">
        <f>IF(ISNA(VLOOKUP(Tabla13[[#This Row],[Código Indra]],Tabla132[[Código INDRA]:[Nombre]],1,FALSE)),"NO", "SI")</f>
        <v>NO</v>
      </c>
      <c r="T581" s="465"/>
      <c r="U581" s="465" t="s">
        <v>256</v>
      </c>
      <c r="V581" s="464" t="e">
        <f>VLOOKUP(Tabla13[[#This Row],[Apoyo]],'LM SAP'!A:I,9,FALSE)</f>
        <v>#N/A</v>
      </c>
      <c r="X581" s="466"/>
      <c r="Y581" s="464">
        <f>Tabla13[[#This Row],[ID]]</f>
        <v>570</v>
      </c>
    </row>
    <row r="582" spans="1:25" s="464" customFormat="1" ht="60" x14ac:dyDescent="0.25">
      <c r="A582" s="453">
        <v>571</v>
      </c>
      <c r="B582" s="480" t="s">
        <v>3039</v>
      </c>
      <c r="C582" s="562" t="s">
        <v>3040</v>
      </c>
      <c r="D582" s="563" t="s">
        <v>208</v>
      </c>
      <c r="E582" s="457" t="s">
        <v>3041</v>
      </c>
      <c r="F582" s="565">
        <v>1</v>
      </c>
      <c r="G582" s="514" t="s">
        <v>207</v>
      </c>
      <c r="H582" s="460"/>
      <c r="I582" s="460" t="s">
        <v>2251</v>
      </c>
      <c r="J582" s="460"/>
      <c r="K582" s="553" t="s">
        <v>1532</v>
      </c>
      <c r="L582" s="460">
        <v>60006835</v>
      </c>
      <c r="M582" s="461">
        <v>45798</v>
      </c>
      <c r="N582" s="461"/>
      <c r="O582" s="462" t="s">
        <v>2786</v>
      </c>
      <c r="P582" s="463" t="str">
        <f>IF(LEFT(B582,5)="09735",
    IF(ISNA(VLOOKUP(Tabla13[[#This Row],[Apoyo]],'LM SAP'!A:G,1,FALSE)),
        "No Disponible",
        IF(VLOOKUP(Tabla13[[#This Row],[Apoyo]],'LM SAP'!A:AD,9,FALSE)="RR",
            "Disponible",
            "Firmas SAP"
        )
    ),
    "CONSULTAR"
)</f>
        <v>No Disponible</v>
      </c>
      <c r="Q582" s="460" t="str">
        <f>MID(Tabla13[[#This Row],[Código Indra]],1,13)</f>
        <v>0973543068500</v>
      </c>
      <c r="R582" s="464" t="str">
        <f>IF(ISNA(VLOOKUP(Tabla13[[#This Row],[Código Indra]],#REF!,1,FALSE)),"NO", "SI")</f>
        <v>SI</v>
      </c>
      <c r="S582" s="460" t="str">
        <f>IF(ISNA(VLOOKUP(Tabla13[[#This Row],[Código Indra]],Tabla132[[Código INDRA]:[Nombre]],1,FALSE)),"NO", "SI")</f>
        <v>NO</v>
      </c>
      <c r="T582" s="465"/>
      <c r="U582" s="465" t="s">
        <v>256</v>
      </c>
      <c r="V582" s="464" t="e">
        <f>VLOOKUP(Tabla13[[#This Row],[Apoyo]],'LM SAP'!A:I,9,FALSE)</f>
        <v>#N/A</v>
      </c>
      <c r="X582" s="466"/>
      <c r="Y582" s="464">
        <f>Tabla13[[#This Row],[ID]]</f>
        <v>571</v>
      </c>
    </row>
    <row r="583" spans="1:25" s="464" customFormat="1" ht="60" x14ac:dyDescent="0.25">
      <c r="A583" s="453">
        <v>572</v>
      </c>
      <c r="B583" s="480" t="s">
        <v>3042</v>
      </c>
      <c r="C583" s="562" t="s">
        <v>3043</v>
      </c>
      <c r="D583" s="563" t="s">
        <v>208</v>
      </c>
      <c r="E583" s="457" t="s">
        <v>3044</v>
      </c>
      <c r="F583" s="565">
        <v>1</v>
      </c>
      <c r="G583" s="514" t="s">
        <v>207</v>
      </c>
      <c r="H583" s="460"/>
      <c r="I583" s="460" t="s">
        <v>2251</v>
      </c>
      <c r="J583" s="460"/>
      <c r="K583" s="553" t="s">
        <v>1532</v>
      </c>
      <c r="L583" s="460">
        <v>60006835</v>
      </c>
      <c r="M583" s="461">
        <v>45798</v>
      </c>
      <c r="N583" s="461"/>
      <c r="O583" s="462" t="s">
        <v>2786</v>
      </c>
      <c r="P583" s="463" t="str">
        <f>IF(LEFT(B583,5)="09735",
    IF(ISNA(VLOOKUP(Tabla13[[#This Row],[Apoyo]],'LM SAP'!A:G,1,FALSE)),
        "No Disponible",
        IF(VLOOKUP(Tabla13[[#This Row],[Apoyo]],'LM SAP'!A:AD,9,FALSE)="RR",
            "Disponible",
            "Firmas SAP"
        )
    ),
    "CONSULTAR"
)</f>
        <v>No Disponible</v>
      </c>
      <c r="Q583" s="460" t="str">
        <f>MID(Tabla13[[#This Row],[Código Indra]],1,13)</f>
        <v>0973543068600</v>
      </c>
      <c r="R583" s="464" t="str">
        <f>IF(ISNA(VLOOKUP(Tabla13[[#This Row],[Código Indra]],#REF!,1,FALSE)),"NO", "SI")</f>
        <v>SI</v>
      </c>
      <c r="S583" s="460" t="str">
        <f>IF(ISNA(VLOOKUP(Tabla13[[#This Row],[Código Indra]],Tabla132[[Código INDRA]:[Nombre]],1,FALSE)),"NO", "SI")</f>
        <v>NO</v>
      </c>
      <c r="T583" s="465"/>
      <c r="U583" s="465" t="s">
        <v>256</v>
      </c>
      <c r="V583" s="464" t="e">
        <f>VLOOKUP(Tabla13[[#This Row],[Apoyo]],'LM SAP'!A:I,9,FALSE)</f>
        <v>#N/A</v>
      </c>
      <c r="X583" s="466"/>
      <c r="Y583" s="464">
        <f>Tabla13[[#This Row],[ID]]</f>
        <v>572</v>
      </c>
    </row>
    <row r="584" spans="1:25" s="464" customFormat="1" ht="15" customHeight="1" x14ac:dyDescent="0.25">
      <c r="A584" s="453">
        <v>573</v>
      </c>
      <c r="B584" s="480" t="s">
        <v>3045</v>
      </c>
      <c r="C584" s="533" t="s">
        <v>3046</v>
      </c>
      <c r="D584" s="469" t="s">
        <v>3046</v>
      </c>
      <c r="E584" s="526" t="s">
        <v>3047</v>
      </c>
      <c r="F584" s="458">
        <v>1</v>
      </c>
      <c r="G584" s="459"/>
      <c r="H584" s="460"/>
      <c r="I584" s="460" t="s">
        <v>2251</v>
      </c>
      <c r="J584" s="460"/>
      <c r="K584" s="460" t="s">
        <v>1411</v>
      </c>
      <c r="L584" s="517">
        <v>60005716</v>
      </c>
      <c r="M584" s="518">
        <v>45698</v>
      </c>
      <c r="N584" s="461">
        <v>45789</v>
      </c>
      <c r="O584" s="470" t="s">
        <v>3048</v>
      </c>
      <c r="P584" s="520" t="str">
        <f>IF(LEFT(B584,5)="09735",
    IF(ISNA(VLOOKUP(Tabla13[[#This Row],[Apoyo]],'LM SAP'!A:G,1,FALSE)),
        "No Disponible",
        IF(VLOOKUP(Tabla13[[#This Row],[Apoyo]],'LM SAP'!A:AD,9,FALSE)="RR",
            "Disponible",
            "Firmas SAP"
        )
    ),
    "CONSULTAR"
)</f>
        <v>No Disponible</v>
      </c>
      <c r="Q584" s="460" t="str">
        <f>MID(Tabla13[[#This Row],[Código Indra]],1,13)</f>
        <v>0973525290200</v>
      </c>
      <c r="R584" s="464" t="str">
        <f>IF(ISNA(VLOOKUP(Tabla13[[#This Row],[Código Indra]],#REF!,1,FALSE)),"NO", "SI")</f>
        <v>SI</v>
      </c>
      <c r="S584" s="460" t="str">
        <f>IF(ISNA(VLOOKUP(Tabla13[[#This Row],[Código Indra]],Tabla132[[Código INDRA]:[Nombre]],1,FALSE)),"NO", "SI")</f>
        <v>NO</v>
      </c>
      <c r="T584" s="465"/>
      <c r="U584" s="465" t="s">
        <v>256</v>
      </c>
      <c r="V584" s="464" t="e">
        <f>VLOOKUP(Tabla13[[#This Row],[Apoyo]],'LM SAP'!A:I,9,FALSE)</f>
        <v>#N/A</v>
      </c>
      <c r="X584" s="466"/>
      <c r="Y584" s="464">
        <f>Tabla13[[#This Row],[ID]]</f>
        <v>573</v>
      </c>
    </row>
    <row r="585" spans="1:25" s="464" customFormat="1" ht="48" x14ac:dyDescent="0.25">
      <c r="A585" s="453">
        <v>574</v>
      </c>
      <c r="B585" s="480" t="s">
        <v>3049</v>
      </c>
      <c r="C585" s="469" t="s">
        <v>3050</v>
      </c>
      <c r="D585" s="469" t="s">
        <v>3050</v>
      </c>
      <c r="E585" s="526" t="s">
        <v>3051</v>
      </c>
      <c r="F585" s="458">
        <v>1</v>
      </c>
      <c r="G585" s="459"/>
      <c r="H585" s="460"/>
      <c r="I585" s="460" t="s">
        <v>2251</v>
      </c>
      <c r="J585" s="460"/>
      <c r="K585" s="460" t="s">
        <v>1411</v>
      </c>
      <c r="L585" s="517">
        <v>60005715</v>
      </c>
      <c r="M585" s="518">
        <v>45698</v>
      </c>
      <c r="N585" s="461">
        <v>45789</v>
      </c>
      <c r="O585" s="470" t="s">
        <v>3048</v>
      </c>
      <c r="P585" s="520" t="str">
        <f>IF(LEFT(B585,5)="09735",
    IF(ISNA(VLOOKUP(Tabla13[[#This Row],[Apoyo]],'LM SAP'!A:G,1,FALSE)),
        "No Disponible",
        IF(VLOOKUP(Tabla13[[#This Row],[Apoyo]],'LM SAP'!A:AD,9,FALSE)="RR",
            "Disponible",
            "Firmas SAP"
        )
    ),
    "CONSULTAR"
)</f>
        <v>No Disponible</v>
      </c>
      <c r="Q585" s="460" t="str">
        <f>MID(Tabla13[[#This Row],[Código Indra]],1,13)</f>
        <v>0973525290300</v>
      </c>
      <c r="R585" s="464" t="str">
        <f>IF(ISNA(VLOOKUP(Tabla13[[#This Row],[Código Indra]],#REF!,1,FALSE)),"NO", "SI")</f>
        <v>SI</v>
      </c>
      <c r="S585" s="460" t="str">
        <f>IF(ISNA(VLOOKUP(Tabla13[[#This Row],[Código Indra]],Tabla132[[Código INDRA]:[Nombre]],1,FALSE)),"NO", "SI")</f>
        <v>NO</v>
      </c>
      <c r="T585" s="465"/>
      <c r="U585" s="465" t="s">
        <v>256</v>
      </c>
      <c r="V585" s="464" t="e">
        <f>VLOOKUP(Tabla13[[#This Row],[Apoyo]],'LM SAP'!A:I,9,FALSE)</f>
        <v>#N/A</v>
      </c>
      <c r="X585" s="466"/>
      <c r="Y585" s="464">
        <f>Tabla13[[#This Row],[ID]]</f>
        <v>574</v>
      </c>
    </row>
    <row r="586" spans="1:25" s="464" customFormat="1" ht="48" x14ac:dyDescent="0.25">
      <c r="A586" s="453">
        <v>575</v>
      </c>
      <c r="B586" s="480" t="s">
        <v>3052</v>
      </c>
      <c r="C586" s="469" t="s">
        <v>3053</v>
      </c>
      <c r="D586" s="469" t="s">
        <v>3053</v>
      </c>
      <c r="E586" s="526" t="s">
        <v>3054</v>
      </c>
      <c r="F586" s="458">
        <v>1</v>
      </c>
      <c r="G586" s="459"/>
      <c r="H586" s="460"/>
      <c r="I586" s="460" t="s">
        <v>2251</v>
      </c>
      <c r="J586" s="460"/>
      <c r="K586" s="460" t="s">
        <v>1411</v>
      </c>
      <c r="L586" s="517">
        <v>60005714</v>
      </c>
      <c r="M586" s="518">
        <v>45698</v>
      </c>
      <c r="N586" s="461">
        <v>45789</v>
      </c>
      <c r="O586" s="470" t="s">
        <v>3048</v>
      </c>
      <c r="P586" s="520" t="str">
        <f>IF(LEFT(B586,5)="09735",
    IF(ISNA(VLOOKUP(Tabla13[[#This Row],[Apoyo]],'LM SAP'!A:G,1,FALSE)),
        "No Disponible",
        IF(VLOOKUP(Tabla13[[#This Row],[Apoyo]],'LM SAP'!A:AD,9,FALSE)="RR",
            "Disponible",
            "Firmas SAP"
        )
    ),
    "CONSULTAR"
)</f>
        <v>No Disponible</v>
      </c>
      <c r="Q586" s="460" t="str">
        <f>MID(Tabla13[[#This Row],[Código Indra]],1,13)</f>
        <v>0973525290400</v>
      </c>
      <c r="R586" s="464" t="str">
        <f>IF(ISNA(VLOOKUP(Tabla13[[#This Row],[Código Indra]],#REF!,1,FALSE)),"NO", "SI")</f>
        <v>SI</v>
      </c>
      <c r="S586" s="460" t="str">
        <f>IF(ISNA(VLOOKUP(Tabla13[[#This Row],[Código Indra]],Tabla132[[Código INDRA]:[Nombre]],1,FALSE)),"NO", "SI")</f>
        <v>NO</v>
      </c>
      <c r="T586" s="465"/>
      <c r="U586" s="465" t="s">
        <v>256</v>
      </c>
      <c r="V586" s="464" t="e">
        <f>VLOOKUP(Tabla13[[#This Row],[Apoyo]],'LM SAP'!A:I,9,FALSE)</f>
        <v>#N/A</v>
      </c>
      <c r="X586" s="466"/>
      <c r="Y586" s="464">
        <f>Tabla13[[#This Row],[ID]]</f>
        <v>575</v>
      </c>
    </row>
    <row r="587" spans="1:25" s="464" customFormat="1" ht="24" x14ac:dyDescent="0.25">
      <c r="A587" s="453">
        <v>576</v>
      </c>
      <c r="B587" s="480" t="s">
        <v>3055</v>
      </c>
      <c r="C587" s="569" t="s">
        <v>3056</v>
      </c>
      <c r="D587" s="469" t="s">
        <v>53</v>
      </c>
      <c r="E587" s="526" t="s">
        <v>3057</v>
      </c>
      <c r="F587" s="458">
        <v>1</v>
      </c>
      <c r="G587" s="459"/>
      <c r="H587" s="460"/>
      <c r="I587" s="460" t="s">
        <v>276</v>
      </c>
      <c r="J587" s="460"/>
      <c r="K587" s="460" t="s">
        <v>1411</v>
      </c>
      <c r="L587" s="570">
        <v>60006571</v>
      </c>
      <c r="M587" s="518">
        <v>45757</v>
      </c>
      <c r="N587" s="461">
        <v>45772</v>
      </c>
      <c r="O587" s="470" t="s">
        <v>3058</v>
      </c>
      <c r="P587" s="520" t="str">
        <f>IF(LEFT(B587,5)="09735",
    IF(ISNA(VLOOKUP(Tabla13[[#This Row],[Apoyo]],'LM SAP'!A:G,1,FALSE)),
        "No Disponible",
        IF(VLOOKUP(Tabla13[[#This Row],[Apoyo]],'LM SAP'!A:AD,9,FALSE)="RR",
            "Disponible",
            "Firmas SAP"
        )
    ),
    "CONSULTAR"
)</f>
        <v>No Disponible</v>
      </c>
      <c r="Q587" s="460" t="str">
        <f>MID(Tabla13[[#This Row],[Código Indra]],1,13)</f>
        <v>0973545053700</v>
      </c>
      <c r="R587" s="464" t="str">
        <f>IF(ISNA(VLOOKUP(Tabla13[[#This Row],[Código Indra]],#REF!,1,FALSE)),"NO", "SI")</f>
        <v>SI</v>
      </c>
      <c r="S587" s="460" t="str">
        <f>IF(ISNA(VLOOKUP(Tabla13[[#This Row],[Código Indra]],Tabla132[[Código INDRA]:[Nombre]],1,FALSE)),"NO", "SI")</f>
        <v>NO</v>
      </c>
      <c r="T587" s="465"/>
      <c r="U587" s="465" t="s">
        <v>256</v>
      </c>
      <c r="V587" s="464" t="e">
        <f>VLOOKUP(Tabla13[[#This Row],[Apoyo]],'LM SAP'!A:I,9,FALSE)</f>
        <v>#N/A</v>
      </c>
      <c r="X587" s="466"/>
      <c r="Y587" s="464">
        <f>Tabla13[[#This Row],[ID]]</f>
        <v>576</v>
      </c>
    </row>
    <row r="588" spans="1:25" s="464" customFormat="1" ht="24" x14ac:dyDescent="0.25">
      <c r="A588" s="453">
        <v>577</v>
      </c>
      <c r="B588" s="571" t="s">
        <v>3059</v>
      </c>
      <c r="C588" s="562" t="s">
        <v>3060</v>
      </c>
      <c r="D588" s="562" t="s">
        <v>3061</v>
      </c>
      <c r="E588" s="572" t="s">
        <v>3062</v>
      </c>
      <c r="F588" s="565">
        <v>1</v>
      </c>
      <c r="G588" s="573"/>
      <c r="H588" s="553"/>
      <c r="I588" s="553" t="s">
        <v>276</v>
      </c>
      <c r="J588" s="553"/>
      <c r="K588" s="553" t="s">
        <v>1411</v>
      </c>
      <c r="L588" s="529">
        <v>60006456</v>
      </c>
      <c r="M588" s="547">
        <v>45740</v>
      </c>
      <c r="N588" s="521">
        <v>45750</v>
      </c>
      <c r="O588" s="470" t="s">
        <v>300</v>
      </c>
      <c r="P588" s="574" t="str">
        <f>IF(LEFT(B588,5)="09735",
    IF(ISNA(VLOOKUP(Tabla13[[#This Row],[Apoyo]],'LM SAP'!A:G,1,FALSE)),
        "No Disponible",
        IF(VLOOKUP(Tabla13[[#This Row],[Apoyo]],'LM SAP'!A:AD,9,FALSE)="RR",
            "Disponible",
            "Firmas SAP"
        )
    ),
    "CONSULTAR"
)</f>
        <v>No Disponible</v>
      </c>
      <c r="Q588" s="553" t="str">
        <f>MID(Tabla13[[#This Row],[Código Indra]],1,13)</f>
        <v>0973544220100</v>
      </c>
      <c r="R588" s="464" t="str">
        <f>IF(ISNA(VLOOKUP(Tabla13[[#This Row],[Código Indra]],#REF!,1,FALSE)),"NO", "SI")</f>
        <v>SI</v>
      </c>
      <c r="S588" s="553" t="str">
        <f>IF(ISNA(VLOOKUP(Tabla13[[#This Row],[Código Indra]],Tabla132[[Código INDRA]:[Nombre]],1,FALSE)),"NO", "SI")</f>
        <v>NO</v>
      </c>
      <c r="T588" s="567"/>
      <c r="U588" s="510" t="s">
        <v>256</v>
      </c>
      <c r="V588" s="464" t="e">
        <f>VLOOKUP(Tabla13[[#This Row],[Apoyo]],'LM SAP'!A:I,9,FALSE)</f>
        <v>#N/A</v>
      </c>
      <c r="X588" s="466"/>
      <c r="Y588" s="464">
        <f>Tabla13[[#This Row],[ID]]</f>
        <v>577</v>
      </c>
    </row>
    <row r="589" spans="1:25" s="464" customFormat="1" x14ac:dyDescent="0.25">
      <c r="A589" s="453">
        <v>578</v>
      </c>
      <c r="B589" s="454" t="s">
        <v>4</v>
      </c>
      <c r="C589" s="469" t="s">
        <v>3063</v>
      </c>
      <c r="D589" s="456" t="s">
        <v>3064</v>
      </c>
      <c r="E589" s="457" t="s">
        <v>474</v>
      </c>
      <c r="F589" s="458"/>
      <c r="G589" s="459"/>
      <c r="H589" s="460"/>
      <c r="I589" s="460"/>
      <c r="J589" s="460"/>
      <c r="K589" s="460" t="s">
        <v>1521</v>
      </c>
      <c r="L589" s="460">
        <v>60004503</v>
      </c>
      <c r="M589" s="461"/>
      <c r="N589" s="461"/>
      <c r="O589" s="575" t="s">
        <v>3065</v>
      </c>
      <c r="P589" s="568" t="str">
        <f>IF(LEFT(B589,5)="09735",
    IF(ISNA(VLOOKUP(Tabla13[[#This Row],[Apoyo]],'LM SAP'!A:G,1,FALSE)),
        "No Disponible",
        IF(VLOOKUP(Tabla13[[#This Row],[Apoyo]],'LM SAP'!A:AD,9,FALSE)="RR",
            "Disponible",
            "Firmas SAP"
        )
    ),
    "CONSULTAR"
)</f>
        <v>No Disponible</v>
      </c>
      <c r="Q589" s="460" t="str">
        <f>MID(Tabla13[[#This Row],[Código Indra]],1,13)</f>
        <v>0973520000000</v>
      </c>
      <c r="R589" s="464" t="str">
        <f>IF(ISNA(VLOOKUP(Tabla13[[#This Row],[Código Indra]],#REF!,1,FALSE)),"NO", "SI")</f>
        <v>SI</v>
      </c>
      <c r="S589" s="460" t="str">
        <f>IF(ISNA(VLOOKUP(Tabla13[[#This Row],[Código Indra]],Tabla132[[Código INDRA]:[Nombre]],1,FALSE)),"NO", "SI")</f>
        <v>NO</v>
      </c>
      <c r="T589" s="465"/>
      <c r="U589" s="511" t="s">
        <v>227</v>
      </c>
      <c r="V589" s="464" t="e">
        <f>VLOOKUP(Tabla13[[#This Row],[Apoyo]],'LM SAP'!A:I,9,FALSE)</f>
        <v>#N/A</v>
      </c>
      <c r="X589" s="466"/>
      <c r="Y589" s="464">
        <f>Tabla13[[#This Row],[ID]]</f>
        <v>578</v>
      </c>
    </row>
    <row r="590" spans="1:25" s="464" customFormat="1" x14ac:dyDescent="0.25">
      <c r="A590" s="453">
        <v>579</v>
      </c>
      <c r="B590" s="561" t="s">
        <v>3066</v>
      </c>
      <c r="C590" s="558" t="s">
        <v>20</v>
      </c>
      <c r="D590" s="563"/>
      <c r="E590" s="564"/>
      <c r="F590" s="565">
        <v>1</v>
      </c>
      <c r="G590" s="573"/>
      <c r="H590" s="553"/>
      <c r="I590" s="553" t="s">
        <v>276</v>
      </c>
      <c r="J590" s="553"/>
      <c r="K590" s="517" t="s">
        <v>1521</v>
      </c>
      <c r="L590" s="529">
        <v>60006468</v>
      </c>
      <c r="M590" s="547">
        <v>45737</v>
      </c>
      <c r="N590" s="518"/>
      <c r="O590" s="470" t="s">
        <v>3067</v>
      </c>
      <c r="P590" s="574" t="str">
        <f>IF(LEFT(B590,5)="09735",
    IF(ISNA(VLOOKUP(Tabla13[[#This Row],[Apoyo]],'LM SAP'!A:G,1,FALSE)),
        "No Disponible",
        IF(VLOOKUP(Tabla13[[#This Row],[Apoyo]],'LM SAP'!A:AD,9,FALSE)="RR",
            "Disponible",
            "Firmas SAP"
        )
    ),
    "CONSULTAR"
)</f>
        <v>No Disponible</v>
      </c>
      <c r="Q590" s="553" t="str">
        <f>MID(Tabla13[[#This Row],[Código Indra]],1,13)</f>
        <v>0973524430100</v>
      </c>
      <c r="R590" s="464" t="str">
        <f>IF(ISNA(VLOOKUP(Tabla13[[#This Row],[Código Indra]],#REF!,1,FALSE)),"NO", "SI")</f>
        <v>SI</v>
      </c>
      <c r="S590" s="553" t="str">
        <f>IF(ISNA(VLOOKUP(Tabla13[[#This Row],[Código Indra]],Tabla132[[Código INDRA]:[Nombre]],1,FALSE)),"NO", "SI")</f>
        <v>NO</v>
      </c>
      <c r="T590" s="567"/>
      <c r="U590" s="465" t="s">
        <v>256</v>
      </c>
      <c r="V590" s="464" t="e">
        <f>VLOOKUP(Tabla13[[#This Row],[Apoyo]],'LM SAP'!A:I,9,FALSE)</f>
        <v>#N/A</v>
      </c>
      <c r="X590" s="466"/>
      <c r="Y590" s="464">
        <f>Tabla13[[#This Row],[ID]]</f>
        <v>579</v>
      </c>
    </row>
    <row r="591" spans="1:25" s="464" customFormat="1" ht="24" x14ac:dyDescent="0.25">
      <c r="A591" s="453">
        <v>580</v>
      </c>
      <c r="B591" s="454" t="s">
        <v>3068</v>
      </c>
      <c r="C591" s="455" t="s">
        <v>248</v>
      </c>
      <c r="D591" s="456" t="s">
        <v>1860</v>
      </c>
      <c r="E591" s="457"/>
      <c r="F591" s="458">
        <v>1</v>
      </c>
      <c r="G591" s="459"/>
      <c r="H591" s="460"/>
      <c r="I591" s="460" t="s">
        <v>251</v>
      </c>
      <c r="J591" s="460"/>
      <c r="K591" s="460" t="s">
        <v>1411</v>
      </c>
      <c r="L591" s="460">
        <v>60006482</v>
      </c>
      <c r="M591" s="521">
        <v>45741</v>
      </c>
      <c r="N591" s="461">
        <v>45747</v>
      </c>
      <c r="O591" s="519" t="s">
        <v>3069</v>
      </c>
      <c r="P591" s="568" t="str">
        <f>IF(LEFT(B591,5)="09735",
    IF(ISNA(VLOOKUP(Tabla13[[#This Row],[Apoyo]],'LM SAP'!A:G,1,FALSE)),
        "No Disponible",
        IF(VLOOKUP(Tabla13[[#This Row],[Apoyo]],'LM SAP'!A:AD,9,FALSE)="RR",
            "Disponible",
            "Firmas SAP"
        )
    ),
    "CONSULTAR"
)</f>
        <v>No Disponible</v>
      </c>
      <c r="Q591" s="460" t="str">
        <f>MID(Tabla13[[#This Row],[Código Indra]],1,13)</f>
        <v>0973524330100</v>
      </c>
      <c r="R591" s="464" t="str">
        <f>IF(ISNA(VLOOKUP(Tabla13[[#This Row],[Código Indra]],#REF!,1,FALSE)),"NO", "SI")</f>
        <v>SI</v>
      </c>
      <c r="S591" s="460" t="str">
        <f>IF(ISNA(VLOOKUP(Tabla13[[#This Row],[Código Indra]],Tabla132[[Código INDRA]:[Nombre]],1,FALSE)),"NO", "SI")</f>
        <v>NO</v>
      </c>
      <c r="T591" s="465"/>
      <c r="U591" s="465" t="s">
        <v>256</v>
      </c>
      <c r="V591" s="464" t="e">
        <f>VLOOKUP(Tabla13[[#This Row],[Apoyo]],'LM SAP'!A:I,9,FALSE)</f>
        <v>#N/A</v>
      </c>
      <c r="X591" s="466"/>
      <c r="Y591" s="464">
        <f>Tabla13[[#This Row],[ID]]</f>
        <v>580</v>
      </c>
    </row>
    <row r="592" spans="1:25" s="464" customFormat="1" ht="60" x14ac:dyDescent="0.25">
      <c r="A592" s="453">
        <v>581</v>
      </c>
      <c r="B592" s="454" t="s">
        <v>3070</v>
      </c>
      <c r="C592" s="455" t="s">
        <v>61</v>
      </c>
      <c r="D592" s="456" t="s">
        <v>31</v>
      </c>
      <c r="E592" s="457"/>
      <c r="F592" s="458">
        <v>1</v>
      </c>
      <c r="G592" s="459"/>
      <c r="H592" s="460"/>
      <c r="I592" s="460" t="s">
        <v>276</v>
      </c>
      <c r="J592" s="460"/>
      <c r="K592" s="460" t="s">
        <v>1411</v>
      </c>
      <c r="L592" s="460">
        <v>60006483</v>
      </c>
      <c r="M592" s="461">
        <v>45741</v>
      </c>
      <c r="N592" s="461">
        <v>45775</v>
      </c>
      <c r="O592" s="612" t="s">
        <v>3071</v>
      </c>
      <c r="P592" s="568" t="str">
        <f>IF(LEFT(B592,5)="09735",
    IF(ISNA(VLOOKUP(Tabla13[[#This Row],[Apoyo]],'LM SAP'!A:G,1,FALSE)),
        "No Disponible",
        IF(VLOOKUP(Tabla13[[#This Row],[Apoyo]],'LM SAP'!A:AD,9,FALSE)="RR",
            "Disponible",
            "Firmas SAP"
        )
    ),
    "CONSULTAR"
)</f>
        <v>No Disponible</v>
      </c>
      <c r="Q592" s="460" t="str">
        <f>MID(Tabla13[[#This Row],[Código Indra]],1,13)</f>
        <v>0973524200000</v>
      </c>
      <c r="R592" s="464" t="str">
        <f>IF(ISNA(VLOOKUP(Tabla13[[#This Row],[Código Indra]],#REF!,1,FALSE)),"NO", "SI")</f>
        <v>SI</v>
      </c>
      <c r="S592" s="460" t="str">
        <f>IF(ISNA(VLOOKUP(Tabla13[[#This Row],[Código Indra]],Tabla132[[Código INDRA]:[Nombre]],1,FALSE)),"NO", "SI")</f>
        <v>NO</v>
      </c>
      <c r="T592" s="465"/>
      <c r="U592" s="465" t="s">
        <v>256</v>
      </c>
      <c r="V592" s="464" t="e">
        <f>VLOOKUP(Tabla13[[#This Row],[Apoyo]],'LM SAP'!A:I,9,FALSE)</f>
        <v>#N/A</v>
      </c>
      <c r="X592" s="466"/>
      <c r="Y592" s="464">
        <f>Tabla13[[#This Row],[ID]]</f>
        <v>581</v>
      </c>
    </row>
    <row r="593" spans="1:25" s="464" customFormat="1" x14ac:dyDescent="0.25">
      <c r="A593" s="453">
        <v>582</v>
      </c>
      <c r="B593" s="454" t="s">
        <v>3072</v>
      </c>
      <c r="C593" s="469" t="s">
        <v>164</v>
      </c>
      <c r="D593" s="456" t="s">
        <v>61</v>
      </c>
      <c r="E593" s="457"/>
      <c r="F593" s="458">
        <v>1</v>
      </c>
      <c r="G593" s="576"/>
      <c r="H593" s="460"/>
      <c r="I593" s="460" t="s">
        <v>251</v>
      </c>
      <c r="J593" s="460"/>
      <c r="K593" s="517" t="s">
        <v>561</v>
      </c>
      <c r="L593" s="570">
        <v>60006484</v>
      </c>
      <c r="M593" s="518">
        <v>45777</v>
      </c>
      <c r="N593" s="518">
        <v>45777</v>
      </c>
      <c r="O593" s="519"/>
      <c r="P593" s="574" t="str">
        <f>IF(LEFT(B593,5)="09735",
    IF(ISNA(VLOOKUP(Tabla13[[#This Row],[Apoyo]],'LM SAP'!A:G,1,FALSE)),
        "No Disponible",
        IF(VLOOKUP(Tabla13[[#This Row],[Apoyo]],'LM SAP'!A:AD,9,FALSE)="RR",
            "Disponible",
            "Firmas SAP"
        )
    ),
    "CONSULTAR"
)</f>
        <v>No Disponible</v>
      </c>
      <c r="Q593" s="460" t="str">
        <f>MID(Tabla13[[#This Row],[Código Indra]],1,13)</f>
        <v>0973524200600</v>
      </c>
      <c r="R593" s="464" t="str">
        <f>IF(ISNA(VLOOKUP(Tabla13[[#This Row],[Código Indra]],#REF!,1,FALSE)),"NO", "SI")</f>
        <v>SI</v>
      </c>
      <c r="S593" s="460" t="str">
        <f>IF(ISNA(VLOOKUP(Tabla13[[#This Row],[Código Indra]],Tabla132[[Código INDRA]:[Nombre]],1,FALSE)),"NO", "SI")</f>
        <v>NO</v>
      </c>
      <c r="T593" s="465"/>
      <c r="U593" s="465" t="s">
        <v>256</v>
      </c>
      <c r="V593" s="464" t="e">
        <f>VLOOKUP(Tabla13[[#This Row],[Apoyo]],'LM SAP'!A:I,9,FALSE)</f>
        <v>#N/A</v>
      </c>
      <c r="X593" s="466"/>
      <c r="Y593" s="464">
        <f>Tabla13[[#This Row],[ID]]</f>
        <v>582</v>
      </c>
    </row>
    <row r="594" spans="1:25" s="464" customFormat="1" ht="24" x14ac:dyDescent="0.25">
      <c r="A594" s="453">
        <v>583</v>
      </c>
      <c r="B594" s="454" t="s">
        <v>1448</v>
      </c>
      <c r="C594" s="455" t="s">
        <v>167</v>
      </c>
      <c r="D594" s="456"/>
      <c r="E594" s="457"/>
      <c r="F594" s="458">
        <v>1</v>
      </c>
      <c r="G594" s="459"/>
      <c r="H594" s="460"/>
      <c r="I594" s="460" t="s">
        <v>251</v>
      </c>
      <c r="J594" s="460"/>
      <c r="K594" s="460" t="s">
        <v>1411</v>
      </c>
      <c r="L594" s="460">
        <v>60006485</v>
      </c>
      <c r="M594" s="461">
        <v>45741</v>
      </c>
      <c r="N594" s="461">
        <v>45775</v>
      </c>
      <c r="O594" s="470" t="s">
        <v>3073</v>
      </c>
      <c r="P594" s="568" t="str">
        <f>IF(LEFT(B594,5)="09735",
    IF(ISNA(VLOOKUP(Tabla13[[#This Row],[Apoyo]],'LM SAP'!A:G,1,FALSE)),
        "No Disponible",
        IF(VLOOKUP(Tabla13[[#This Row],[Apoyo]],'LM SAP'!A:AD,9,FALSE)="RR",
            "Disponible",
            "Firmas SAP"
        )
    ),
    "CONSULTAR"
)</f>
        <v>No Disponible</v>
      </c>
      <c r="Q594" s="460" t="str">
        <f>MID(Tabla13[[#This Row],[Código Indra]],1,13)</f>
        <v>0973524000100</v>
      </c>
      <c r="R594" s="464" t="str">
        <f>IF(ISNA(VLOOKUP(Tabla13[[#This Row],[Código Indra]],#REF!,1,FALSE)),"NO", "SI")</f>
        <v>SI</v>
      </c>
      <c r="S594" s="460" t="str">
        <f>IF(ISNA(VLOOKUP(Tabla13[[#This Row],[Código Indra]],Tabla132[[Código INDRA]:[Nombre]],1,FALSE)),"NO", "SI")</f>
        <v>NO</v>
      </c>
      <c r="T594" s="465"/>
      <c r="U594" s="465" t="s">
        <v>256</v>
      </c>
      <c r="V594" s="464" t="e">
        <f>VLOOKUP(Tabla13[[#This Row],[Apoyo]],'LM SAP'!A:I,9,FALSE)</f>
        <v>#N/A</v>
      </c>
      <c r="X594" s="466"/>
      <c r="Y594" s="464">
        <f>Tabla13[[#This Row],[ID]]</f>
        <v>583</v>
      </c>
    </row>
    <row r="595" spans="1:25" s="479" customFormat="1" ht="24" x14ac:dyDescent="0.25">
      <c r="A595" s="577">
        <v>584</v>
      </c>
      <c r="B595" s="578" t="s">
        <v>1449</v>
      </c>
      <c r="C595" s="562" t="s">
        <v>1450</v>
      </c>
      <c r="D595" s="456" t="s">
        <v>176</v>
      </c>
      <c r="E595" s="526" t="s">
        <v>3074</v>
      </c>
      <c r="F595" s="458">
        <v>1</v>
      </c>
      <c r="G595" s="459"/>
      <c r="H595" s="460"/>
      <c r="I595" s="460" t="s">
        <v>276</v>
      </c>
      <c r="J595" s="460"/>
      <c r="K595" s="460" t="s">
        <v>220</v>
      </c>
      <c r="L595" s="553">
        <v>60006597</v>
      </c>
      <c r="M595" s="521">
        <v>45758</v>
      </c>
      <c r="N595" s="521">
        <v>45775</v>
      </c>
      <c r="O595" s="579" t="s">
        <v>3075</v>
      </c>
      <c r="P595" s="568" t="str">
        <f>IF(LEFT(B595,5)="09735",
    IF(ISNA(VLOOKUP(Tabla13[[#This Row],[Apoyo]],'LM SAP'!A:G,1,FALSE)),
        "No Disponible",
        IF(VLOOKUP(Tabla13[[#This Row],[Apoyo]],'LM SAP'!A:AD,9,FALSE)="RR",
            "Disponible",
            "Firmas SAP"
        )
    ),
    "CONSULTAR"
)</f>
        <v>No Disponible</v>
      </c>
      <c r="Q595" s="553" t="str">
        <f>MID(Tabla13[[#This Row],[Código Indra]],1,13)</f>
        <v>0973525410100</v>
      </c>
      <c r="R595" s="464" t="str">
        <f>IF(ISNA(VLOOKUP(Tabla13[[#This Row],[Código Indra]],#REF!,1,FALSE)),"NO", "SI")</f>
        <v>SI</v>
      </c>
      <c r="S595" s="553" t="str">
        <f>IF(ISNA(VLOOKUP(Tabla13[[#This Row],[Código Indra]],Tabla132[[Código INDRA]:[Nombre]],1,FALSE)),"NO", "SI")</f>
        <v>NO</v>
      </c>
      <c r="T595" s="465" t="s">
        <v>2005</v>
      </c>
      <c r="U595" s="465" t="s">
        <v>256</v>
      </c>
      <c r="V595" s="464" t="e">
        <f>VLOOKUP(Tabla13[[#This Row],[Apoyo]],'LM SAP'!A:I,9,FALSE)</f>
        <v>#N/A</v>
      </c>
      <c r="W595" s="464"/>
      <c r="X595" s="466"/>
      <c r="Y595" s="464">
        <f>Tabla13[[#This Row],[ID]]</f>
        <v>584</v>
      </c>
    </row>
    <row r="596" spans="1:25" s="479" customFormat="1" ht="72" x14ac:dyDescent="0.25">
      <c r="A596" s="580">
        <v>585</v>
      </c>
      <c r="B596" s="581" t="s">
        <v>257</v>
      </c>
      <c r="C596" s="582" t="s">
        <v>258</v>
      </c>
      <c r="D596" s="484" t="s">
        <v>121</v>
      </c>
      <c r="E596" s="485" t="s">
        <v>3076</v>
      </c>
      <c r="F596" s="486">
        <v>1</v>
      </c>
      <c r="G596" s="487"/>
      <c r="H596" s="488"/>
      <c r="I596" s="488" t="s">
        <v>2011</v>
      </c>
      <c r="J596" s="488">
        <v>24360001</v>
      </c>
      <c r="K596" s="460" t="s">
        <v>1411</v>
      </c>
      <c r="L596" s="583">
        <v>60006865</v>
      </c>
      <c r="M596" s="584">
        <v>45804</v>
      </c>
      <c r="N596" s="584">
        <v>45810</v>
      </c>
      <c r="O596" s="585" t="s">
        <v>3077</v>
      </c>
      <c r="P596" s="586" t="str">
        <f>IF(LEFT(B596,5)="09735",
    IF(ISNA(VLOOKUP(Tabla13[[#This Row],[Apoyo]],'LM SAP'!A:G,1,FALSE)),
        "No Disponible",
        IF(VLOOKUP(Tabla13[[#This Row],[Apoyo]],'LM SAP'!A:AD,9,FALSE)="RR",
            "Disponible",
            "Firmas SAP"
        )
    ),
    "CONSULTAR"
)</f>
        <v>No Disponible</v>
      </c>
      <c r="Q596" s="553" t="str">
        <f>MID(Tabla13[[#This Row],[Código Indra]],1,13)</f>
        <v>0973525030500</v>
      </c>
      <c r="R596" s="464" t="str">
        <f>IF(ISNA(VLOOKUP(Tabla13[[#This Row],[Código Indra]],#REF!,1,FALSE)),"NO", "SI")</f>
        <v>SI</v>
      </c>
      <c r="S596" s="553" t="str">
        <f>IF(ISNA(VLOOKUP(Tabla13[[#This Row],[Código Indra]],Tabla132[[Código INDRA]:[Nombre]],1,FALSE)),"NO", "SI")</f>
        <v>SI</v>
      </c>
      <c r="T596" s="587"/>
      <c r="U596" s="465" t="s">
        <v>256</v>
      </c>
      <c r="V596" s="464" t="e">
        <f>VLOOKUP(Tabla13[[#This Row],[Apoyo]],'LM SAP'!A:I,9,FALSE)</f>
        <v>#N/A</v>
      </c>
      <c r="W596" s="464"/>
      <c r="X596" s="466"/>
      <c r="Y596" s="464">
        <f>Tabla13[[#This Row],[ID]]</f>
        <v>585</v>
      </c>
    </row>
    <row r="597" spans="1:25" s="464" customFormat="1" ht="72" x14ac:dyDescent="0.25">
      <c r="A597" s="482">
        <v>586</v>
      </c>
      <c r="B597" s="588" t="s">
        <v>268</v>
      </c>
      <c r="C597" s="474" t="s">
        <v>1432</v>
      </c>
      <c r="D597" s="484" t="s">
        <v>128</v>
      </c>
      <c r="E597" s="485" t="s">
        <v>3078</v>
      </c>
      <c r="F597" s="486">
        <v>1</v>
      </c>
      <c r="G597" s="487"/>
      <c r="H597" s="488"/>
      <c r="I597" s="488" t="s">
        <v>2011</v>
      </c>
      <c r="J597" s="488">
        <v>24360001</v>
      </c>
      <c r="K597" s="460" t="s">
        <v>1411</v>
      </c>
      <c r="L597" s="488">
        <v>60006866</v>
      </c>
      <c r="M597" s="489">
        <v>45804</v>
      </c>
      <c r="N597" s="584">
        <v>45810</v>
      </c>
      <c r="O597" s="546" t="s">
        <v>3079</v>
      </c>
      <c r="P597" s="490" t="str">
        <f>IF(LEFT(B597,5)="09735",
    IF(ISNA(VLOOKUP(Tabla13[[#This Row],[Apoyo]],'LM SAP'!A:G,1,FALSE)),
        "No Disponible",
        IF(VLOOKUP(Tabla13[[#This Row],[Apoyo]],'LM SAP'!A:AD,9,FALSE)="RR",
            "Disponible",
            "Firmas SAP"
        )
    ),
    "CONSULTAR"
)</f>
        <v>No Disponible</v>
      </c>
      <c r="Q597" s="460" t="str">
        <f>MID(Tabla13[[#This Row],[Código Indra]],1,13)</f>
        <v>0973525060500</v>
      </c>
      <c r="R597" s="464" t="str">
        <f>IF(ISNA(VLOOKUP(Tabla13[[#This Row],[Código Indra]],#REF!,1,FALSE)),"NO", "SI")</f>
        <v>SI</v>
      </c>
      <c r="S597" s="460" t="str">
        <f>IF(ISNA(VLOOKUP(Tabla13[[#This Row],[Código Indra]],Tabla132[[Código INDRA]:[Nombre]],1,FALSE)),"NO", "SI")</f>
        <v>SI</v>
      </c>
      <c r="T597" s="491"/>
      <c r="U597" s="465" t="s">
        <v>256</v>
      </c>
      <c r="V597" s="464" t="e">
        <f>VLOOKUP(Tabla13[[#This Row],[Apoyo]],'LM SAP'!A:I,9,FALSE)</f>
        <v>#N/A</v>
      </c>
      <c r="X597" s="466"/>
      <c r="Y597" s="464">
        <f>Tabla13[[#This Row],[ID]]</f>
        <v>586</v>
      </c>
    </row>
    <row r="598" spans="1:25" s="464" customFormat="1" ht="24" x14ac:dyDescent="0.25">
      <c r="A598" s="577">
        <v>587</v>
      </c>
      <c r="B598" s="480" t="s">
        <v>3080</v>
      </c>
      <c r="C598" s="469" t="s">
        <v>2195</v>
      </c>
      <c r="D598" s="456" t="s">
        <v>150</v>
      </c>
      <c r="E598" s="526" t="s">
        <v>3081</v>
      </c>
      <c r="F598" s="458">
        <v>1</v>
      </c>
      <c r="G598" s="459"/>
      <c r="H598" s="460"/>
      <c r="I598" s="460" t="s">
        <v>276</v>
      </c>
      <c r="J598" s="460"/>
      <c r="K598" s="517" t="s">
        <v>1411</v>
      </c>
      <c r="L598" s="460">
        <v>60006572</v>
      </c>
      <c r="M598" s="461">
        <v>45757</v>
      </c>
      <c r="N598" s="521">
        <v>45776</v>
      </c>
      <c r="O598" s="470" t="s">
        <v>3082</v>
      </c>
      <c r="P598" s="568" t="str">
        <f>IF(LEFT(B598,5)="09735",
    IF(ISNA(VLOOKUP(Tabla13[[#This Row],[Apoyo]],'LM SAP'!A:G,1,FALSE)),
        "No Disponible",
        IF(VLOOKUP(Tabla13[[#This Row],[Apoyo]],'LM SAP'!A:AD,9,FALSE)="RR",
            "Disponible",
            "Firmas SAP"
        )
    ),
    "CONSULTAR"
)</f>
        <v>No Disponible</v>
      </c>
      <c r="Q598" s="553" t="str">
        <f>MID(Tabla13[[#This Row],[Código Indra]],1,13)</f>
        <v>0973545048700</v>
      </c>
      <c r="R598" s="464" t="str">
        <f>IF(ISNA(VLOOKUP(Tabla13[[#This Row],[Código Indra]],#REF!,1,FALSE)),"NO", "SI")</f>
        <v>SI</v>
      </c>
      <c r="S598" s="553" t="str">
        <f>IF(ISNA(VLOOKUP(Tabla13[[#This Row],[Código Indra]],Tabla132[[Código INDRA]:[Nombre]],1,FALSE)),"NO", "SI")</f>
        <v>NO</v>
      </c>
      <c r="T598" s="567"/>
      <c r="U598" s="465" t="s">
        <v>256</v>
      </c>
      <c r="V598" s="464" t="e">
        <f>VLOOKUP(Tabla13[[#This Row],[Apoyo]],'LM SAP'!A:I,9,FALSE)</f>
        <v>#N/A</v>
      </c>
      <c r="X598" s="466"/>
      <c r="Y598" s="464">
        <f>Tabla13[[#This Row],[ID]]</f>
        <v>587</v>
      </c>
    </row>
    <row r="599" spans="1:25" s="464" customFormat="1" ht="24" x14ac:dyDescent="0.25">
      <c r="A599" s="577">
        <v>588</v>
      </c>
      <c r="B599" s="480" t="s">
        <v>3083</v>
      </c>
      <c r="C599" s="562" t="s">
        <v>2197</v>
      </c>
      <c r="D599" s="456" t="s">
        <v>150</v>
      </c>
      <c r="E599" s="526" t="s">
        <v>3084</v>
      </c>
      <c r="F599" s="565">
        <v>1</v>
      </c>
      <c r="G599" s="573"/>
      <c r="H599" s="460"/>
      <c r="I599" s="553" t="s">
        <v>276</v>
      </c>
      <c r="J599" s="553"/>
      <c r="K599" s="529" t="s">
        <v>1411</v>
      </c>
      <c r="L599" s="460">
        <v>60006573</v>
      </c>
      <c r="M599" s="521">
        <v>45757</v>
      </c>
      <c r="N599" s="521">
        <v>45776</v>
      </c>
      <c r="O599" s="579" t="s">
        <v>3082</v>
      </c>
      <c r="P599" s="568" t="str">
        <f>IF(LEFT(B599,5)="09735",
    IF(ISNA(VLOOKUP(Tabla13[[#This Row],[Apoyo]],'LM SAP'!A:G,1,FALSE)),
        "No Disponible",
        IF(VLOOKUP(Tabla13[[#This Row],[Apoyo]],'LM SAP'!A:AD,9,FALSE)="RR",
            "Disponible",
            "Firmas SAP"
        )
    ),
    "CONSULTAR"
)</f>
        <v>No Disponible</v>
      </c>
      <c r="Q599" s="553" t="str">
        <f>MID(Tabla13[[#This Row],[Código Indra]],1,13)</f>
        <v>0973545048800</v>
      </c>
      <c r="R599" s="464" t="str">
        <f>IF(ISNA(VLOOKUP(Tabla13[[#This Row],[Código Indra]],#REF!,1,FALSE)),"NO", "SI")</f>
        <v>SI</v>
      </c>
      <c r="S599" s="553" t="str">
        <f>IF(ISNA(VLOOKUP(Tabla13[[#This Row],[Código Indra]],Tabla132[[Código INDRA]:[Nombre]],1,FALSE)),"NO", "SI")</f>
        <v>NO</v>
      </c>
      <c r="T599" s="567"/>
      <c r="U599" s="465" t="s">
        <v>256</v>
      </c>
      <c r="V599" s="464" t="e">
        <f>VLOOKUP(Tabla13[[#This Row],[Apoyo]],'LM SAP'!A:I,9,FALSE)</f>
        <v>#N/A</v>
      </c>
      <c r="X599" s="466"/>
      <c r="Y599" s="464">
        <f>Tabla13[[#This Row],[ID]]</f>
        <v>588</v>
      </c>
    </row>
    <row r="600" spans="1:25" s="464" customFormat="1" ht="36" x14ac:dyDescent="0.25">
      <c r="A600" s="577">
        <v>589</v>
      </c>
      <c r="B600" s="454" t="s">
        <v>3085</v>
      </c>
      <c r="C600" s="469" t="s">
        <v>431</v>
      </c>
      <c r="D600" s="456" t="s">
        <v>26</v>
      </c>
      <c r="E600" s="457" t="s">
        <v>685</v>
      </c>
      <c r="F600" s="458">
        <v>1</v>
      </c>
      <c r="G600" s="459"/>
      <c r="H600" s="460" t="s">
        <v>2000</v>
      </c>
      <c r="I600" s="460" t="s">
        <v>321</v>
      </c>
      <c r="J600" s="553"/>
      <c r="K600" s="460" t="s">
        <v>1411</v>
      </c>
      <c r="L600" s="553">
        <v>60006843</v>
      </c>
      <c r="M600" s="521">
        <v>45800</v>
      </c>
      <c r="N600" s="521">
        <v>45800</v>
      </c>
      <c r="O600" s="470" t="s">
        <v>3086</v>
      </c>
      <c r="P600" s="568" t="str">
        <f>IF(LEFT(B600,5)="09735",
    IF(ISNA(VLOOKUP(Tabla13[[#This Row],[Apoyo]],'LM SAP'!A:G,1,FALSE)),
        "No Disponible",
        IF(VLOOKUP(Tabla13[[#This Row],[Apoyo]],'LM SAP'!A:AD,9,FALSE)="RR",
            "Disponible",
            "Firmas SAP"
        )
    ),
    "CONSULTAR"
)</f>
        <v>No Disponible</v>
      </c>
      <c r="Q600" s="553" t="str">
        <f>MID(Tabla13[[#This Row],[Código Indra]],1,13)</f>
        <v>0973525191500</v>
      </c>
      <c r="R600" s="464" t="str">
        <f>IF(ISNA(VLOOKUP(Tabla13[[#This Row],[Código Indra]],#REF!,1,FALSE)),"NO", "SI")</f>
        <v>SI</v>
      </c>
      <c r="S600" s="553" t="str">
        <f>IF(ISNA(VLOOKUP(Tabla13[[#This Row],[Código Indra]],Tabla132[[Código INDRA]:[Nombre]],1,FALSE)),"NO", "SI")</f>
        <v>NO</v>
      </c>
      <c r="T600" s="567"/>
      <c r="U600" s="465" t="s">
        <v>256</v>
      </c>
      <c r="V600" s="464" t="e">
        <f>VLOOKUP(Tabla13[[#This Row],[Apoyo]],'LM SAP'!A:I,9,FALSE)</f>
        <v>#N/A</v>
      </c>
      <c r="X600" s="466"/>
      <c r="Y600" s="464">
        <f>Tabla13[[#This Row],[ID]]</f>
        <v>589</v>
      </c>
    </row>
    <row r="601" spans="1:25" s="464" customFormat="1" ht="24" x14ac:dyDescent="0.25">
      <c r="A601" s="577">
        <v>599</v>
      </c>
      <c r="B601" s="480" t="s">
        <v>3087</v>
      </c>
      <c r="C601" s="469" t="s">
        <v>971</v>
      </c>
      <c r="D601" s="456" t="s">
        <v>3088</v>
      </c>
      <c r="E601" s="457" t="s">
        <v>3089</v>
      </c>
      <c r="F601" s="458">
        <v>5</v>
      </c>
      <c r="G601" s="573"/>
      <c r="H601" s="460" t="s">
        <v>2000</v>
      </c>
      <c r="I601" s="460" t="s">
        <v>276</v>
      </c>
      <c r="J601" s="553"/>
      <c r="K601" s="517" t="s">
        <v>1411</v>
      </c>
      <c r="L601" s="589">
        <v>60006841</v>
      </c>
      <c r="M601" s="521">
        <v>45800</v>
      </c>
      <c r="N601" s="521">
        <v>45805</v>
      </c>
      <c r="O601" s="519" t="s">
        <v>3090</v>
      </c>
      <c r="P601" s="568" t="str">
        <f>IF(LEFT(B601,5)="09735",
    IF(ISNA(VLOOKUP(Tabla13[[#This Row],[Apoyo]],'LM SAP'!A:G,1,FALSE)),
        "No Disponible",
        IF(VLOOKUP(Tabla13[[#This Row],[Apoyo]],'LM SAP'!A:AD,9,FALSE)="RR",
            "Disponible",
            "Firmas SAP"
        )
    ),
    "CONSULTAR"
)</f>
        <v>No Disponible</v>
      </c>
      <c r="Q601" s="553" t="str">
        <f>MID(Tabla13[[#This Row],[Código Indra]],1,13)</f>
        <v>0973530111000</v>
      </c>
      <c r="R601" s="464" t="str">
        <f>IF(ISNA(VLOOKUP(Tabla13[[#This Row],[Código Indra]],#REF!,1,FALSE)),"NO", "SI")</f>
        <v>SI</v>
      </c>
      <c r="S601" s="553" t="str">
        <f>IF(ISNA(VLOOKUP(Tabla13[[#This Row],[Código Indra]],Tabla132[[Código INDRA]:[Nombre]],1,FALSE)),"NO", "SI")</f>
        <v>NO</v>
      </c>
      <c r="T601" s="567"/>
      <c r="U601" s="465" t="s">
        <v>256</v>
      </c>
      <c r="V601" s="464" t="e">
        <f>VLOOKUP(Tabla13[[#This Row],[Apoyo]],'LM SAP'!A:I,9,FALSE)</f>
        <v>#N/A</v>
      </c>
      <c r="X601" s="466"/>
      <c r="Y601" s="464">
        <f>Tabla13[[#This Row],[ID]]</f>
        <v>599</v>
      </c>
    </row>
    <row r="602" spans="1:25" s="464" customFormat="1" ht="24" x14ac:dyDescent="0.25">
      <c r="A602" s="577">
        <v>600</v>
      </c>
      <c r="B602" s="454" t="s">
        <v>3091</v>
      </c>
      <c r="C602" s="469" t="s">
        <v>974</v>
      </c>
      <c r="D602" s="456" t="s">
        <v>431</v>
      </c>
      <c r="E602" s="457" t="s">
        <v>3092</v>
      </c>
      <c r="F602" s="458">
        <v>5</v>
      </c>
      <c r="G602" s="459"/>
      <c r="H602" s="460" t="s">
        <v>2000</v>
      </c>
      <c r="I602" s="460" t="s">
        <v>276</v>
      </c>
      <c r="J602" s="460"/>
      <c r="K602" s="517" t="s">
        <v>1411</v>
      </c>
      <c r="L602" s="504">
        <v>60006842</v>
      </c>
      <c r="M602" s="461">
        <v>45800</v>
      </c>
      <c r="N602" s="521">
        <v>45805</v>
      </c>
      <c r="O602" s="519" t="s">
        <v>3090</v>
      </c>
      <c r="P602" s="463" t="str">
        <f>IF(LEFT(B602,5)="09735",
    IF(ISNA(VLOOKUP(Tabla13[[#This Row],[Apoyo]],'LM SAP'!A:G,1,FALSE)),
        "No Disponible",
        IF(VLOOKUP(Tabla13[[#This Row],[Apoyo]],'LM SAP'!A:AD,9,FALSE)="RR",
            "Disponible",
            "Firmas SAP"
        )
    ),
    "CONSULTAR"
)</f>
        <v>No Disponible</v>
      </c>
      <c r="Q602" s="460" t="str">
        <f>MID(Tabla13[[#This Row],[Código Indra]],1,13)</f>
        <v>0973530112000</v>
      </c>
      <c r="R602" s="464" t="str">
        <f>IF(ISNA(VLOOKUP(Tabla13[[#This Row],[Código Indra]],#REF!,1,FALSE)),"NO", "SI")</f>
        <v>SI</v>
      </c>
      <c r="S602" s="460" t="str">
        <f>IF(ISNA(VLOOKUP(Tabla13[[#This Row],[Código Indra]],Tabla132[[Código INDRA]:[Nombre]],1,FALSE)),"NO", "SI")</f>
        <v>NO</v>
      </c>
      <c r="T602" s="465"/>
      <c r="U602" s="465" t="s">
        <v>256</v>
      </c>
      <c r="V602" s="464" t="e">
        <f>VLOOKUP(Tabla13[[#This Row],[Apoyo]],'LM SAP'!A:I,9,FALSE)</f>
        <v>#N/A</v>
      </c>
      <c r="X602" s="466"/>
      <c r="Y602" s="464">
        <f>Tabla13[[#This Row],[ID]]</f>
        <v>600</v>
      </c>
    </row>
    <row r="603" spans="1:25" s="464" customFormat="1" x14ac:dyDescent="0.25">
      <c r="A603" s="577">
        <v>601</v>
      </c>
      <c r="B603" s="480" t="s">
        <v>3093</v>
      </c>
      <c r="C603" s="469" t="s">
        <v>1042</v>
      </c>
      <c r="D603" s="456" t="s">
        <v>53</v>
      </c>
      <c r="E603" s="457"/>
      <c r="F603" s="458">
        <v>1</v>
      </c>
      <c r="G603" s="459"/>
      <c r="H603" s="460"/>
      <c r="I603" s="460" t="s">
        <v>276</v>
      </c>
      <c r="J603" s="460"/>
      <c r="K603" s="517" t="s">
        <v>1411</v>
      </c>
      <c r="L603" s="460">
        <v>60006836</v>
      </c>
      <c r="M603" s="461">
        <v>45798</v>
      </c>
      <c r="N603" s="461">
        <v>45805</v>
      </c>
      <c r="O603" s="519" t="s">
        <v>3090</v>
      </c>
      <c r="P603" s="463" t="str">
        <f>IF(LEFT(B603,5)="09735",
    IF(ISNA(VLOOKUP(Tabla13[[#This Row],[Apoyo]],'LM SAP'!A:G,1,FALSE)),
        "No Disponible",
        IF(VLOOKUP(Tabla13[[#This Row],[Apoyo]],'LM SAP'!A:AD,9,FALSE)="RR",
            "Disponible",
            "Firmas SAP"
        )
    ),
    "CONSULTAR"
)</f>
        <v>No Disponible</v>
      </c>
      <c r="Q603" s="460" t="str">
        <f>MID(Tabla13[[#This Row],[Código Indra]],1,13)</f>
        <v>0973545054400</v>
      </c>
      <c r="R603" s="464" t="str">
        <f>IF(ISNA(VLOOKUP(Tabla13[[#This Row],[Código Indra]],#REF!,1,FALSE)),"NO", "SI")</f>
        <v>SI</v>
      </c>
      <c r="S603" s="460" t="str">
        <f>IF(ISNA(VLOOKUP(Tabla13[[#This Row],[Código Indra]],Tabla132[[Código INDRA]:[Nombre]],1,FALSE)),"NO", "SI")</f>
        <v>NO</v>
      </c>
      <c r="T603" s="465"/>
      <c r="U603" s="465" t="s">
        <v>256</v>
      </c>
      <c r="V603" s="464" t="e">
        <f>VLOOKUP(Tabla13[[#This Row],[Apoyo]],'LM SAP'!A:I,9,FALSE)</f>
        <v>#N/A</v>
      </c>
      <c r="X603" s="466"/>
      <c r="Y603" s="464">
        <f>Tabla13[[#This Row],[ID]]</f>
        <v>601</v>
      </c>
    </row>
    <row r="604" spans="1:25" s="464" customFormat="1" ht="48" x14ac:dyDescent="0.25">
      <c r="A604" s="577">
        <v>602</v>
      </c>
      <c r="B604" s="480" t="s">
        <v>3094</v>
      </c>
      <c r="C604" s="469" t="s">
        <v>3095</v>
      </c>
      <c r="D604" s="456" t="s">
        <v>3096</v>
      </c>
      <c r="E604" s="457" t="s">
        <v>3097</v>
      </c>
      <c r="F604" s="458">
        <v>1</v>
      </c>
      <c r="G604" s="459"/>
      <c r="H604" s="460"/>
      <c r="I604" s="460" t="s">
        <v>2251</v>
      </c>
      <c r="J604" s="460"/>
      <c r="K604" s="460" t="s">
        <v>1411</v>
      </c>
      <c r="L604" s="517">
        <v>60006791</v>
      </c>
      <c r="M604" s="518">
        <v>45799</v>
      </c>
      <c r="N604" s="518">
        <v>45799</v>
      </c>
      <c r="O604" s="519" t="s">
        <v>3098</v>
      </c>
      <c r="P604" s="463" t="str">
        <f>IF(LEFT(B604,5)="09735",
    IF(ISNA(VLOOKUP(Tabla13[[#This Row],[Apoyo]],'LM SAP'!A:G,1,FALSE)),
        "No Disponible",
        IF(VLOOKUP(Tabla13[[#This Row],[Apoyo]],'LM SAP'!A:AD,9,FALSE)="RR",
            "Disponible",
            "Firmas SAP"
        )
    ),
    "CONSULTAR"
)</f>
        <v>No Disponible</v>
      </c>
      <c r="Q604" s="460" t="str">
        <f>MID(Tabla13[[#This Row],[Código Indra]],1,13)</f>
        <v>0973525290700</v>
      </c>
      <c r="R604" s="464" t="str">
        <f>IF(ISNA(VLOOKUP(Tabla13[[#This Row],[Código Indra]],#REF!,1,FALSE)),"NO", "SI")</f>
        <v>SI</v>
      </c>
      <c r="S604" s="460" t="str">
        <f>IF(ISNA(VLOOKUP(Tabla13[[#This Row],[Código Indra]],Tabla132[[Código INDRA]:[Nombre]],1,FALSE)),"NO", "SI")</f>
        <v>NO</v>
      </c>
      <c r="T604" s="465"/>
      <c r="U604" s="465" t="s">
        <v>256</v>
      </c>
      <c r="V604" s="464" t="e">
        <f>VLOOKUP(Tabla13[[#This Row],[Apoyo]],'LM SAP'!A:I,9,FALSE)</f>
        <v>#N/A</v>
      </c>
      <c r="X604" s="466"/>
    </row>
    <row r="605" spans="1:25" s="464" customFormat="1" x14ac:dyDescent="0.25">
      <c r="A605" s="577">
        <v>603</v>
      </c>
      <c r="B605" s="480" t="s">
        <v>3099</v>
      </c>
      <c r="C605" s="469" t="s">
        <v>463</v>
      </c>
      <c r="D605" s="456" t="s">
        <v>50</v>
      </c>
      <c r="E605" s="457" t="s">
        <v>685</v>
      </c>
      <c r="F605" s="458">
        <v>1</v>
      </c>
      <c r="G605" s="459"/>
      <c r="H605" s="460"/>
      <c r="I605" s="460" t="s">
        <v>276</v>
      </c>
      <c r="J605" s="460"/>
      <c r="K605" s="517" t="s">
        <v>1411</v>
      </c>
      <c r="L605" s="517">
        <v>60006840</v>
      </c>
      <c r="M605" s="518">
        <v>45799</v>
      </c>
      <c r="N605" s="518">
        <v>45807</v>
      </c>
      <c r="O605" s="519" t="s">
        <v>3090</v>
      </c>
      <c r="P605" s="463" t="str">
        <f>IF(LEFT(B605,5)="09735",
    IF(ISNA(VLOOKUP(Tabla13[[#This Row],[Apoyo]],'LM SAP'!A:G,1,FALSE)),
        "No Disponible",
        IF(VLOOKUP(Tabla13[[#This Row],[Apoyo]],'LM SAP'!A:AD,9,FALSE)="RR",
            "Disponible",
            "Firmas SAP"
        )
    ),
    "CONSULTAR"
)</f>
        <v>No Disponible</v>
      </c>
      <c r="Q605" s="460" t="str">
        <f>MID(Tabla13[[#This Row],[Código Indra]],1,13)</f>
        <v>0973525300100</v>
      </c>
      <c r="R605" s="464" t="str">
        <f>IF(ISNA(VLOOKUP(Tabla13[[#This Row],[Código Indra]],#REF!,1,FALSE)),"NO", "SI")</f>
        <v>SI</v>
      </c>
      <c r="S605" s="460" t="str">
        <f>IF(ISNA(VLOOKUP(Tabla13[[#This Row],[Código Indra]],Tabla132[[Código INDRA]:[Nombre]],1,FALSE)),"NO", "SI")</f>
        <v>NO</v>
      </c>
      <c r="T605" s="465"/>
      <c r="U605" s="465" t="s">
        <v>256</v>
      </c>
      <c r="X605" s="466"/>
    </row>
    <row r="606" spans="1:25" s="464" customFormat="1" ht="48" x14ac:dyDescent="0.25">
      <c r="A606" s="453">
        <v>604</v>
      </c>
      <c r="B606" s="480" t="s">
        <v>3100</v>
      </c>
      <c r="C606" s="469" t="s">
        <v>3101</v>
      </c>
      <c r="D606" s="456" t="s">
        <v>3096</v>
      </c>
      <c r="E606" s="457" t="s">
        <v>3102</v>
      </c>
      <c r="F606" s="458">
        <v>1</v>
      </c>
      <c r="G606" s="459"/>
      <c r="H606" s="460" t="s">
        <v>2000</v>
      </c>
      <c r="I606" s="460" t="s">
        <v>2251</v>
      </c>
      <c r="J606" s="460"/>
      <c r="K606" s="517" t="s">
        <v>220</v>
      </c>
      <c r="L606" s="517">
        <v>60006792</v>
      </c>
      <c r="M606" s="518">
        <v>45800</v>
      </c>
      <c r="N606" s="547">
        <v>45800</v>
      </c>
      <c r="O606" s="519" t="s">
        <v>3103</v>
      </c>
      <c r="P606" s="463" t="str">
        <f>IF(LEFT(B606,5)="09735",
    IF(ISNA(VLOOKUP(Tabla13[[#This Row],[Apoyo]],'LM SAP'!A:G,1,FALSE)),
        "No Disponible",
        IF(VLOOKUP(Tabla13[[#This Row],[Apoyo]],'LM SAP'!A:AD,9,FALSE)="RR",
            "Disponible",
            "Firmas SAP"
        )
    ),
    "CONSULTAR"
)</f>
        <v>No Disponible</v>
      </c>
      <c r="Q606" s="460" t="str">
        <f>MID(Tabla13[[#This Row],[Código Indra]],1,13)</f>
        <v>0973525291000</v>
      </c>
      <c r="R606" s="464" t="str">
        <f>IF(ISNA(VLOOKUP(Tabla13[[#This Row],[Código Indra]],#REF!,1,FALSE)),"NO", "SI")</f>
        <v>SI</v>
      </c>
      <c r="S606" s="460" t="str">
        <f>IF(ISNA(VLOOKUP(Tabla13[[#This Row],[Código Indra]],Tabla132[[Código INDRA]:[Nombre]],1,FALSE)),"NO", "SI")</f>
        <v>NO</v>
      </c>
      <c r="T606" s="465"/>
      <c r="U606" s="510" t="s">
        <v>256</v>
      </c>
      <c r="X606" s="466"/>
    </row>
    <row r="607" spans="1:25" s="464" customFormat="1" ht="36" x14ac:dyDescent="0.25">
      <c r="A607" s="453">
        <v>605</v>
      </c>
      <c r="B607" s="454" t="s">
        <v>3104</v>
      </c>
      <c r="C607" s="469" t="s">
        <v>625</v>
      </c>
      <c r="D607" s="456" t="s">
        <v>31</v>
      </c>
      <c r="E607" s="457" t="s">
        <v>700</v>
      </c>
      <c r="F607" s="458">
        <v>1</v>
      </c>
      <c r="G607" s="459"/>
      <c r="H607" s="460"/>
      <c r="I607" s="460" t="s">
        <v>251</v>
      </c>
      <c r="J607" s="460" t="s">
        <v>1318</v>
      </c>
      <c r="K607" s="517" t="s">
        <v>1411</v>
      </c>
      <c r="L607" s="460">
        <v>60006793</v>
      </c>
      <c r="M607" s="461">
        <v>45800</v>
      </c>
      <c r="N607" s="461">
        <v>45805</v>
      </c>
      <c r="O607" s="590" t="s">
        <v>3105</v>
      </c>
      <c r="P607" s="463" t="str">
        <f>IF(LEFT(B607,5)="09735",
    IF(ISNA(VLOOKUP(Tabla13[[#This Row],[Apoyo]],'LM SAP'!A:G,1,FALSE)),
        "No Disponible",
        IF(VLOOKUP(Tabla13[[#This Row],[Apoyo]],'LM SAP'!A:AD,9,FALSE)="RR",
            "Disponible",
            "Firmas SAP"
        )
    ),
    "CONSULTAR"
)</f>
        <v>CONSULTAR</v>
      </c>
      <c r="Q607" s="460" t="str">
        <f>MID(Tabla13[[#This Row],[Código Indra]],1,13)</f>
        <v>0972825203400</v>
      </c>
      <c r="R607" s="464" t="str">
        <f>IF(ISNA(VLOOKUP(Tabla13[[#This Row],[Código Indra]],#REF!,1,FALSE)),"NO", "SI")</f>
        <v>SI</v>
      </c>
      <c r="S607" s="460" t="str">
        <f>IF(ISNA(VLOOKUP(Tabla13[[#This Row],[Código Indra]],Tabla132[[Código INDRA]:[Nombre]],1,FALSE)),"NO", "SI")</f>
        <v>NO</v>
      </c>
      <c r="T607" s="465" t="s">
        <v>2159</v>
      </c>
      <c r="U607" s="464" t="s">
        <v>256</v>
      </c>
      <c r="V607" s="464" t="e">
        <f>VLOOKUP(Tabla13[[#This Row],[Apoyo]],'LM SAP'!A:I,9,FALSE)</f>
        <v>#N/A</v>
      </c>
      <c r="X607" s="466">
        <v>4</v>
      </c>
      <c r="Y607" s="464">
        <f>Tabla13[[#This Row],[ID]]</f>
        <v>605</v>
      </c>
    </row>
    <row r="608" spans="1:25" s="464" customFormat="1" ht="24" x14ac:dyDescent="0.25">
      <c r="A608" s="453">
        <v>606</v>
      </c>
      <c r="B608" s="454" t="s">
        <v>3106</v>
      </c>
      <c r="C608" s="469" t="s">
        <v>408</v>
      </c>
      <c r="D608" s="456" t="s">
        <v>142</v>
      </c>
      <c r="E608" s="457" t="s">
        <v>3107</v>
      </c>
      <c r="F608" s="458">
        <v>1</v>
      </c>
      <c r="G608" s="459"/>
      <c r="H608" s="460"/>
      <c r="I608" s="460" t="s">
        <v>276</v>
      </c>
      <c r="J608" s="460" t="s">
        <v>1318</v>
      </c>
      <c r="K608" s="517" t="s">
        <v>1411</v>
      </c>
      <c r="L608" s="460">
        <v>60006796</v>
      </c>
      <c r="M608" s="461">
        <v>45800</v>
      </c>
      <c r="N608" s="461">
        <v>45803</v>
      </c>
      <c r="O608" s="591" t="s">
        <v>3108</v>
      </c>
      <c r="P608" s="463" t="str">
        <f>IF(LEFT(B608,5)="09735",
    IF(ISNA(VLOOKUP(Tabla13[[#This Row],[Apoyo]],'LM SAP'!A:G,1,FALSE)),
        "No Disponible",
        IF(VLOOKUP(Tabla13[[#This Row],[Apoyo]],'LM SAP'!A:AD,9,FALSE)="RR",
            "Disponible",
            "Firmas SAP"
        )
    ),
    "CONSULTAR"
)</f>
        <v>No Disponible</v>
      </c>
      <c r="Q608" s="460" t="str">
        <f>MID(Tabla13[[#This Row],[Código Indra]],1,13)</f>
        <v>0973525140600</v>
      </c>
      <c r="R608" s="464" t="str">
        <f>IF(ISNA(VLOOKUP(Tabla13[[#This Row],[Código Indra]],#REF!,1,FALSE)),"NO", "SI")</f>
        <v>SI</v>
      </c>
      <c r="S608" s="460" t="str">
        <f>IF(ISNA(VLOOKUP(Tabla13[[#This Row],[Código Indra]],Tabla132[[Código INDRA]:[Nombre]],1,FALSE)),"NO", "SI")</f>
        <v>NO</v>
      </c>
      <c r="T608" s="465" t="s">
        <v>2159</v>
      </c>
      <c r="U608" s="464" t="s">
        <v>256</v>
      </c>
      <c r="V608" s="464" t="e">
        <f>VLOOKUP(Tabla13[[#This Row],[Apoyo]],'LM SAP'!A:I,9,FALSE)</f>
        <v>#N/A</v>
      </c>
      <c r="X608" s="466">
        <v>5</v>
      </c>
      <c r="Y608" s="464">
        <f>Tabla13[[#This Row],[ID]]</f>
        <v>606</v>
      </c>
    </row>
    <row r="609" spans="1:25" s="464" customFormat="1" ht="60" x14ac:dyDescent="0.25">
      <c r="A609" s="453">
        <v>607</v>
      </c>
      <c r="B609" s="454" t="s">
        <v>3109</v>
      </c>
      <c r="C609" s="469" t="s">
        <v>2675</v>
      </c>
      <c r="D609" s="456" t="s">
        <v>173</v>
      </c>
      <c r="E609" s="457" t="s">
        <v>2676</v>
      </c>
      <c r="F609" s="458">
        <v>1</v>
      </c>
      <c r="G609" s="543"/>
      <c r="H609" s="460"/>
      <c r="I609" s="460" t="s">
        <v>251</v>
      </c>
      <c r="J609" s="460"/>
      <c r="K609" s="460" t="s">
        <v>1411</v>
      </c>
      <c r="L609" s="460">
        <v>60006794</v>
      </c>
      <c r="M609" s="461">
        <v>45800</v>
      </c>
      <c r="N609" s="461">
        <v>45805</v>
      </c>
      <c r="O609" s="470" t="s">
        <v>3110</v>
      </c>
      <c r="P609" s="463" t="str">
        <f>IF(LEFT(B609,5)="09735",
    IF(ISNA(VLOOKUP(Tabla13[[#This Row],[Apoyo]],'LM SAP'!A:G,1,FALSE)),
        "No Disponible",
        IF(VLOOKUP(Tabla13[[#This Row],[Apoyo]],'LM SAP'!A:AD,9,FALSE)="RR",
            "Disponible",
            "Firmas SAP"
        )
    ),
    "CONSULTAR"
)</f>
        <v>No Disponible</v>
      </c>
      <c r="Q609" s="460" t="str">
        <f>MID(Tabla13[[#This Row],[Código Indra]],1,13)</f>
        <v>0973545037500</v>
      </c>
      <c r="R609" s="464" t="str">
        <f>IF(ISNA(VLOOKUP(Tabla13[[#This Row],[Código Indra]],#REF!,1,FALSE)),"NO", "SI")</f>
        <v>SI</v>
      </c>
      <c r="S609" s="460" t="str">
        <f>IF(ISNA(VLOOKUP(Tabla13[[#This Row],[Código Indra]],Tabla132[[Código INDRA]:[Nombre]],1,FALSE)),"NO", "SI")</f>
        <v>NO</v>
      </c>
      <c r="T609" s="465"/>
      <c r="U609" s="511" t="s">
        <v>256</v>
      </c>
      <c r="V609" s="464" t="e">
        <f>VLOOKUP(Tabla13[[#This Row],[Apoyo]],'LM SAP'!A:I,9,FALSE)</f>
        <v>#N/A</v>
      </c>
      <c r="X609" s="466">
        <v>0</v>
      </c>
      <c r="Y609" s="464">
        <f>Tabla13[[#This Row],[ID]]</f>
        <v>607</v>
      </c>
    </row>
    <row r="610" spans="1:25" s="464" customFormat="1" ht="48" x14ac:dyDescent="0.25">
      <c r="A610" s="453">
        <v>608</v>
      </c>
      <c r="B610" s="480" t="s">
        <v>1446</v>
      </c>
      <c r="C610" s="455" t="s">
        <v>210</v>
      </c>
      <c r="D610" s="456" t="s">
        <v>210</v>
      </c>
      <c r="E610" s="457" t="s">
        <v>3111</v>
      </c>
      <c r="F610" s="458">
        <v>1</v>
      </c>
      <c r="G610" s="459"/>
      <c r="H610" s="460"/>
      <c r="I610" s="460" t="s">
        <v>2251</v>
      </c>
      <c r="J610" s="460"/>
      <c r="K610" s="460" t="s">
        <v>220</v>
      </c>
      <c r="L610" s="460">
        <v>60007354</v>
      </c>
      <c r="M610" s="461">
        <v>45859</v>
      </c>
      <c r="N610" s="461">
        <v>45862</v>
      </c>
      <c r="O610" s="470" t="s">
        <v>3112</v>
      </c>
      <c r="P610" s="463" t="str">
        <f>IF(LEFT(B610,5)="09735",
    IF(ISNA(VLOOKUP(Tabla13[[#This Row],[Apoyo]],'LM SAP'!A:G,1,FALSE)),
        "No Disponible",
        IF(VLOOKUP(Tabla13[[#This Row],[Apoyo]],'LM SAP'!A:AD,9,FALSE)="RR",
            "Disponible",
            "Firmas SAP"
        )
    ),
    "CONSULTAR"
)</f>
        <v>No Disponible</v>
      </c>
      <c r="Q610" s="460" t="str">
        <f>MID(Tabla13[[#This Row],[Código Indra]],1,13)</f>
        <v>0973523068700</v>
      </c>
      <c r="R610" s="464" t="str">
        <f>IF(ISNA(VLOOKUP(Tabla13[[#This Row],[Código Indra]],#REF!,1,FALSE)),"NO", "SI")</f>
        <v>SI</v>
      </c>
      <c r="S610" s="460" t="str">
        <f>IF(ISNA(VLOOKUP(Tabla13[[#This Row],[Código Indra]],Tabla132[[Código INDRA]:[Nombre]],1,FALSE)),"NO", "SI")</f>
        <v>SI</v>
      </c>
      <c r="T610" s="465"/>
      <c r="U610" s="465" t="s">
        <v>256</v>
      </c>
      <c r="V610" s="464" t="e">
        <f>VLOOKUP(Tabla13[[#This Row],[Apoyo]],'LM SAP'!A:I,9,FALSE)</f>
        <v>#N/A</v>
      </c>
      <c r="X610" s="466"/>
      <c r="Y610" s="464">
        <f>Tabla13[[#This Row],[ID]]</f>
        <v>608</v>
      </c>
    </row>
    <row r="611" spans="1:25" s="464" customFormat="1" ht="36" x14ac:dyDescent="0.25">
      <c r="A611" s="453">
        <v>609</v>
      </c>
      <c r="B611" s="454" t="s">
        <v>2789</v>
      </c>
      <c r="C611" s="469" t="s">
        <v>2790</v>
      </c>
      <c r="D611" s="456" t="s">
        <v>210</v>
      </c>
      <c r="E611" s="457" t="s">
        <v>3113</v>
      </c>
      <c r="F611" s="458">
        <v>1</v>
      </c>
      <c r="G611" s="543" t="s">
        <v>1446</v>
      </c>
      <c r="H611" s="460"/>
      <c r="I611" s="460" t="s">
        <v>2251</v>
      </c>
      <c r="J611" s="460"/>
      <c r="K611" s="460" t="s">
        <v>1532</v>
      </c>
      <c r="L611" s="460">
        <v>60007354</v>
      </c>
      <c r="M611" s="461">
        <v>45859</v>
      </c>
      <c r="N611" s="461"/>
      <c r="O611" s="470" t="s">
        <v>3114</v>
      </c>
      <c r="P611" s="463" t="str">
        <f>IF(LEFT(B611,5)="09735",
    IF(ISNA(VLOOKUP(Tabla13[[#This Row],[Apoyo]],'LM SAP'!A:G,1,FALSE)),
        "No Disponible",
        IF(VLOOKUP(Tabla13[[#This Row],[Apoyo]],'LM SAP'!A:AD,9,FALSE)="RR",
            "Disponible",
            "Firmas SAP"
        )
    ),
    "CONSULTAR"
)</f>
        <v>Disponible</v>
      </c>
      <c r="Q611" s="460" t="str">
        <f>MID(Tabla13[[#This Row],[Código Indra]],1,13)</f>
        <v>0973543068800</v>
      </c>
      <c r="R611" s="464" t="str">
        <f>IF(ISNA(VLOOKUP(Tabla13[[#This Row],[Código Indra]],#REF!,1,FALSE)),"NO", "SI")</f>
        <v>SI</v>
      </c>
      <c r="S611" s="460" t="str">
        <f>IF(ISNA(VLOOKUP(Tabla13[[#This Row],[Código Indra]],Tabla132[[Código INDRA]:[Nombre]],1,FALSE)),"NO", "SI")</f>
        <v>NO</v>
      </c>
      <c r="T611" s="465"/>
      <c r="U611" s="465" t="s">
        <v>256</v>
      </c>
      <c r="V611" s="464" t="str">
        <f>VLOOKUP(Tabla13[[#This Row],[Apoyo]],'LM SAP'!A:I,9,FALSE)</f>
        <v>RR</v>
      </c>
      <c r="X611" s="466"/>
      <c r="Y611" s="464">
        <f>Tabla13[[#This Row],[ID]]</f>
        <v>609</v>
      </c>
    </row>
    <row r="612" spans="1:25" s="464" customFormat="1" ht="36" x14ac:dyDescent="0.25">
      <c r="A612" s="453">
        <v>610</v>
      </c>
      <c r="B612" s="454" t="s">
        <v>2792</v>
      </c>
      <c r="C612" s="469" t="s">
        <v>2793</v>
      </c>
      <c r="D612" s="456" t="s">
        <v>210</v>
      </c>
      <c r="E612" s="457" t="s">
        <v>3115</v>
      </c>
      <c r="F612" s="458">
        <v>1</v>
      </c>
      <c r="G612" s="543" t="s">
        <v>1446</v>
      </c>
      <c r="H612" s="460"/>
      <c r="I612" s="460" t="s">
        <v>2251</v>
      </c>
      <c r="J612" s="460"/>
      <c r="K612" s="460" t="s">
        <v>1532</v>
      </c>
      <c r="L612" s="460">
        <v>60007354</v>
      </c>
      <c r="M612" s="461">
        <v>45859</v>
      </c>
      <c r="N612" s="461"/>
      <c r="O612" s="470" t="s">
        <v>3114</v>
      </c>
      <c r="P612" s="463" t="str">
        <f>IF(LEFT(B612,5)="09735",
    IF(ISNA(VLOOKUP(Tabla13[[#This Row],[Apoyo]],'LM SAP'!A:G,1,FALSE)),
        "No Disponible",
        IF(VLOOKUP(Tabla13[[#This Row],[Apoyo]],'LM SAP'!A:AD,9,FALSE)="RR",
            "Disponible",
            "Firmas SAP"
        )
    ),
    "CONSULTAR"
)</f>
        <v>Disponible</v>
      </c>
      <c r="Q612" s="460" t="str">
        <f>MID(Tabla13[[#This Row],[Código Indra]],1,13)</f>
        <v>0973543068900</v>
      </c>
      <c r="R612" s="464" t="str">
        <f>IF(ISNA(VLOOKUP(Tabla13[[#This Row],[Código Indra]],#REF!,1,FALSE)),"NO", "SI")</f>
        <v>SI</v>
      </c>
      <c r="S612" s="460" t="str">
        <f>IF(ISNA(VLOOKUP(Tabla13[[#This Row],[Código Indra]],Tabla132[[Código INDRA]:[Nombre]],1,FALSE)),"NO", "SI")</f>
        <v>NO</v>
      </c>
      <c r="T612" s="465"/>
      <c r="U612" s="465" t="s">
        <v>256</v>
      </c>
      <c r="V612" s="464" t="str">
        <f>VLOOKUP(Tabla13[[#This Row],[Apoyo]],'LM SAP'!A:I,9,FALSE)</f>
        <v>RR</v>
      </c>
      <c r="X612" s="466"/>
      <c r="Y612" s="464">
        <f>Tabla13[[#This Row],[ID]]</f>
        <v>610</v>
      </c>
    </row>
    <row r="613" spans="1:25" s="464" customFormat="1" ht="36" x14ac:dyDescent="0.25">
      <c r="A613" s="453">
        <v>611</v>
      </c>
      <c r="B613" s="578" t="s">
        <v>2795</v>
      </c>
      <c r="C613" s="562" t="s">
        <v>2796</v>
      </c>
      <c r="D613" s="563" t="s">
        <v>210</v>
      </c>
      <c r="E613" s="564" t="s">
        <v>3116</v>
      </c>
      <c r="F613" s="565">
        <v>1</v>
      </c>
      <c r="G613" s="592" t="s">
        <v>1446</v>
      </c>
      <c r="H613" s="553"/>
      <c r="I613" s="553" t="s">
        <v>2251</v>
      </c>
      <c r="J613" s="553"/>
      <c r="K613" s="460" t="s">
        <v>1532</v>
      </c>
      <c r="L613" s="460">
        <v>60007354</v>
      </c>
      <c r="M613" s="461">
        <v>45859</v>
      </c>
      <c r="N613" s="521"/>
      <c r="O613" s="470" t="s">
        <v>3114</v>
      </c>
      <c r="P613" s="568" t="str">
        <f>IF(LEFT(B613,5)="09735",
    IF(ISNA(VLOOKUP(Tabla13[[#This Row],[Apoyo]],'LM SAP'!A:G,1,FALSE)),
        "No Disponible",
        IF(VLOOKUP(Tabla13[[#This Row],[Apoyo]],'LM SAP'!A:AD,9,FALSE)="RR",
            "Disponible",
            "Firmas SAP"
        )
    ),
    "CONSULTAR"
)</f>
        <v>Disponible</v>
      </c>
      <c r="Q613" s="553" t="str">
        <f>MID(Tabla13[[#This Row],[Código Indra]],1,13)</f>
        <v>0973543069000</v>
      </c>
      <c r="R613" s="464" t="str">
        <f>IF(ISNA(VLOOKUP(Tabla13[[#This Row],[Código Indra]],#REF!,1,FALSE)),"NO", "SI")</f>
        <v>SI</v>
      </c>
      <c r="S613" s="553" t="str">
        <f>IF(ISNA(VLOOKUP(Tabla13[[#This Row],[Código Indra]],Tabla132[[Código INDRA]:[Nombre]],1,FALSE)),"NO", "SI")</f>
        <v>NO</v>
      </c>
      <c r="T613" s="567"/>
      <c r="U613" s="465" t="s">
        <v>256</v>
      </c>
      <c r="V613" s="464" t="str">
        <f>VLOOKUP(Tabla13[[#This Row],[Apoyo]],'LM SAP'!A:I,9,FALSE)</f>
        <v>RR</v>
      </c>
      <c r="X613" s="466"/>
      <c r="Y613" s="464">
        <f>Tabla13[[#This Row],[ID]]</f>
        <v>611</v>
      </c>
    </row>
    <row r="614" spans="1:25" s="464" customFormat="1" ht="36" x14ac:dyDescent="0.25">
      <c r="A614" s="577">
        <v>612</v>
      </c>
      <c r="B614" s="578" t="s">
        <v>2798</v>
      </c>
      <c r="C614" s="562" t="s">
        <v>2799</v>
      </c>
      <c r="D614" s="563" t="s">
        <v>210</v>
      </c>
      <c r="E614" s="564" t="s">
        <v>3117</v>
      </c>
      <c r="F614" s="565">
        <v>1</v>
      </c>
      <c r="G614" s="592" t="s">
        <v>1446</v>
      </c>
      <c r="H614" s="553"/>
      <c r="I614" s="553" t="s">
        <v>2251</v>
      </c>
      <c r="J614" s="553"/>
      <c r="K614" s="553" t="s">
        <v>1532</v>
      </c>
      <c r="L614" s="553">
        <v>60007354</v>
      </c>
      <c r="M614" s="521">
        <v>45859</v>
      </c>
      <c r="N614" s="521"/>
      <c r="O614" s="579" t="s">
        <v>3114</v>
      </c>
      <c r="P614" s="568" t="str">
        <f>IF(LEFT(B614,5)="09735",
    IF(ISNA(VLOOKUP(Tabla13[[#This Row],[Apoyo]],'LM SAP'!A:G,1,FALSE)),
        "No Disponible",
        IF(VLOOKUP(Tabla13[[#This Row],[Apoyo]],'LM SAP'!A:AD,9,FALSE)="RR",
            "Disponible",
            "Firmas SAP"
        )
    ),
    "CONSULTAR"
)</f>
        <v>Disponible</v>
      </c>
      <c r="Q614" s="553" t="str">
        <f>MID(Tabla13[[#This Row],[Código Indra]],1,13)</f>
        <v>0973543069100</v>
      </c>
      <c r="R614" s="464" t="str">
        <f>IF(ISNA(VLOOKUP(Tabla13[[#This Row],[Código Indra]],#REF!,1,FALSE)),"NO", "SI")</f>
        <v>SI</v>
      </c>
      <c r="S614" s="553" t="str">
        <f>IF(ISNA(VLOOKUP(Tabla13[[#This Row],[Código Indra]],Tabla132[[Código INDRA]:[Nombre]],1,FALSE)),"NO", "SI")</f>
        <v>NO</v>
      </c>
      <c r="T614" s="567"/>
      <c r="U614" s="465" t="s">
        <v>256</v>
      </c>
      <c r="V614" s="464" t="str">
        <f>VLOOKUP(Tabla13[[#This Row],[Apoyo]],'LM SAP'!A:I,9,FALSE)</f>
        <v>RR</v>
      </c>
      <c r="X614" s="466"/>
      <c r="Y614" s="464">
        <f>Tabla13[[#This Row],[ID]]</f>
        <v>612</v>
      </c>
    </row>
    <row r="615" spans="1:25" s="464" customFormat="1" ht="84" x14ac:dyDescent="0.25">
      <c r="A615" s="577">
        <v>615</v>
      </c>
      <c r="B615" s="578" t="s">
        <v>3118</v>
      </c>
      <c r="C615" s="562" t="s">
        <v>3119</v>
      </c>
      <c r="D615" s="563" t="s">
        <v>319</v>
      </c>
      <c r="E615" s="564" t="s">
        <v>3120</v>
      </c>
      <c r="F615" s="565">
        <v>1</v>
      </c>
      <c r="G615" s="573"/>
      <c r="H615" s="553"/>
      <c r="I615" s="553" t="s">
        <v>251</v>
      </c>
      <c r="J615" s="553"/>
      <c r="K615" s="460" t="s">
        <v>1411</v>
      </c>
      <c r="L615" s="529">
        <v>60007367</v>
      </c>
      <c r="M615" s="547">
        <v>45868</v>
      </c>
      <c r="N615" s="547">
        <v>45868</v>
      </c>
      <c r="O615" s="593" t="s">
        <v>3121</v>
      </c>
      <c r="P615" s="574" t="str">
        <f>IF(LEFT(B615,5)="09735",
    IF(ISNA(VLOOKUP(Tabla13[[#This Row],[Apoyo]],'LM SAP'!A:G,1,FALSE)),
        "No Disponible",
        IF(VLOOKUP(Tabla13[[#This Row],[Apoyo]],'LM SAP'!A:AD,9,FALSE)="RR",
            "Disponible",
            "Firmas SAP"
        )
    ),
    "CONSULTAR"
)</f>
        <v>Disponible</v>
      </c>
      <c r="Q615" s="553" t="str">
        <f>MID(Tabla13[[#This Row],[Código Indra]],1,13)</f>
        <v>0973525110200</v>
      </c>
      <c r="R615" s="464" t="str">
        <f>IF(ISNA(VLOOKUP(Tabla13[[#This Row],[Código Indra]],#REF!,1,FALSE)),"NO", "SI")</f>
        <v>SI</v>
      </c>
      <c r="S615" s="553" t="str">
        <f>IF(ISNA(VLOOKUP(Tabla13[[#This Row],[Código Indra]],Tabla132[[Código INDRA]:[Nombre]],1,FALSE)),"NO", "SI")</f>
        <v>NO</v>
      </c>
      <c r="T615" s="567"/>
      <c r="U615" s="465" t="s">
        <v>256</v>
      </c>
      <c r="V615" s="464" t="str">
        <f>VLOOKUP(Tabla13[[#This Row],[Apoyo]],'LM SAP'!A:I,9,FALSE)</f>
        <v>RR</v>
      </c>
      <c r="X615" s="466"/>
      <c r="Y615" s="464">
        <f>Tabla13[[#This Row],[ID]]</f>
        <v>615</v>
      </c>
    </row>
    <row r="616" spans="1:25" s="464" customFormat="1" ht="24" x14ac:dyDescent="0.25">
      <c r="A616" s="577">
        <v>616</v>
      </c>
      <c r="B616" s="561" t="s">
        <v>3122</v>
      </c>
      <c r="C616" s="562" t="s">
        <v>3123</v>
      </c>
      <c r="D616" s="563" t="s">
        <v>3124</v>
      </c>
      <c r="E616" s="564" t="s">
        <v>3125</v>
      </c>
      <c r="F616" s="565">
        <v>1</v>
      </c>
      <c r="G616" s="573"/>
      <c r="H616" s="553"/>
      <c r="I616" s="553" t="s">
        <v>251</v>
      </c>
      <c r="J616" s="553"/>
      <c r="K616" s="460" t="s">
        <v>1411</v>
      </c>
      <c r="L616" s="553">
        <v>60007397</v>
      </c>
      <c r="M616" s="547">
        <v>45873</v>
      </c>
      <c r="N616" s="547"/>
      <c r="O616" s="594" t="s">
        <v>3126</v>
      </c>
      <c r="P616" s="574" t="str">
        <f>IF(LEFT(B616,5)="09735",
    IF(ISNA(VLOOKUP(Tabla13[[#This Row],[Apoyo]],'LM SAP'!A:G,1,FALSE)),
        "No Disponible",
        IF(VLOOKUP(Tabla13[[#This Row],[Apoyo]],'LM SAP'!A:AD,9,FALSE)="RR",
            "Disponible",
            "Firmas SAP"
        )
    ),
    "CONSULTAR"
)</f>
        <v>Disponible</v>
      </c>
      <c r="Q616" s="553" t="str">
        <f>MID(Tabla13[[#This Row],[Código Indra]],1,13)</f>
        <v>0973525190600</v>
      </c>
      <c r="R616" s="464" t="str">
        <f>IF(ISNA(VLOOKUP(Tabla13[[#This Row],[Código Indra]],#REF!,1,FALSE)),"NO", "SI")</f>
        <v>SI</v>
      </c>
      <c r="S616" s="553" t="str">
        <f>IF(ISNA(VLOOKUP(Tabla13[[#This Row],[Código Indra]],Tabla132[[Código INDRA]:[Nombre]],1,FALSE)),"NO", "SI")</f>
        <v>NO</v>
      </c>
      <c r="T616" s="567"/>
      <c r="U616" s="465" t="s">
        <v>256</v>
      </c>
      <c r="V616" s="464" t="str">
        <f>VLOOKUP(Tabla13[[#This Row],[Apoyo]],'LM SAP'!A:I,9,FALSE)</f>
        <v>RR</v>
      </c>
      <c r="X616" s="466"/>
      <c r="Y616" s="464">
        <f>Tabla13[[#This Row],[ID]]</f>
        <v>616</v>
      </c>
    </row>
    <row r="617" spans="1:25" s="464" customFormat="1" ht="36" x14ac:dyDescent="0.25">
      <c r="A617" s="577">
        <v>617</v>
      </c>
      <c r="B617" s="454" t="s">
        <v>3127</v>
      </c>
      <c r="C617" s="469" t="s">
        <v>411</v>
      </c>
      <c r="D617" s="456" t="s">
        <v>142</v>
      </c>
      <c r="E617" s="457" t="s">
        <v>3128</v>
      </c>
      <c r="F617" s="458">
        <v>1</v>
      </c>
      <c r="G617" s="459"/>
      <c r="H617" s="460"/>
      <c r="I617" s="460" t="s">
        <v>276</v>
      </c>
      <c r="J617" s="460" t="s">
        <v>1318</v>
      </c>
      <c r="K617" s="517" t="s">
        <v>1411</v>
      </c>
      <c r="L617" s="517">
        <v>60007014</v>
      </c>
      <c r="M617" s="461">
        <v>45833</v>
      </c>
      <c r="N617" s="518">
        <v>45834</v>
      </c>
      <c r="O617" s="519" t="s">
        <v>3129</v>
      </c>
      <c r="P617" s="574" t="str">
        <f>IF(LEFT(B617,5)="09735",
    IF(ISNA(VLOOKUP(Tabla13[[#This Row],[Apoyo]],'LM SAP'!A:G,1,FALSE)),
        "No Disponible",
        IF(VLOOKUP(Tabla13[[#This Row],[Apoyo]],'LM SAP'!A:AD,9,FALSE)="RR",
            "Disponible",
            "Firmas SAP"
        )
    ),
    "CONSULTAR"
)</f>
        <v>No Disponible</v>
      </c>
      <c r="Q617" s="460" t="str">
        <f>MID(Tabla13[[#This Row],[Código Indra]],1,13)</f>
        <v>0973525140700</v>
      </c>
      <c r="R617" s="464" t="str">
        <f>IF(ISNA(VLOOKUP(Tabla13[[#This Row],[Código Indra]],#REF!,1,FALSE)),"NO", "SI")</f>
        <v>SI</v>
      </c>
      <c r="S617" s="460" t="str">
        <f>IF(ISNA(VLOOKUP(Tabla13[[#This Row],[Código Indra]],Tabla132[[Código INDRA]:[Nombre]],1,FALSE)),"NO", "SI")</f>
        <v>NO</v>
      </c>
      <c r="T617" s="465"/>
      <c r="U617" s="465" t="s">
        <v>256</v>
      </c>
      <c r="V617" s="464" t="e">
        <f>VLOOKUP(Tabla13[[#This Row],[Apoyo]],'LM SAP'!A:I,9,FALSE)</f>
        <v>#N/A</v>
      </c>
      <c r="X617" s="466"/>
      <c r="Y617" s="464">
        <f>Tabla13[[#This Row],[ID]]</f>
        <v>617</v>
      </c>
    </row>
    <row r="618" spans="1:25" s="464" customFormat="1" ht="36" x14ac:dyDescent="0.25">
      <c r="A618" s="577">
        <v>618</v>
      </c>
      <c r="B618" s="454" t="s">
        <v>3130</v>
      </c>
      <c r="C618" s="469" t="s">
        <v>415</v>
      </c>
      <c r="D618" s="456" t="s">
        <v>142</v>
      </c>
      <c r="E618" s="457" t="s">
        <v>3131</v>
      </c>
      <c r="F618" s="458">
        <v>1</v>
      </c>
      <c r="G618" s="459"/>
      <c r="H618" s="460"/>
      <c r="I618" s="460" t="s">
        <v>276</v>
      </c>
      <c r="J618" s="460" t="s">
        <v>1318</v>
      </c>
      <c r="K618" s="517" t="s">
        <v>1411</v>
      </c>
      <c r="L618" s="460">
        <v>60007013</v>
      </c>
      <c r="M618" s="461">
        <v>45833</v>
      </c>
      <c r="N618" s="518">
        <v>45834</v>
      </c>
      <c r="O618" s="519" t="s">
        <v>3129</v>
      </c>
      <c r="P618" s="574" t="str">
        <f>IF(LEFT(B618,5)="09735",
    IF(ISNA(VLOOKUP(Tabla13[[#This Row],[Apoyo]],'LM SAP'!A:G,1,FALSE)),
        "No Disponible",
        IF(VLOOKUP(Tabla13[[#This Row],[Apoyo]],'LM SAP'!A:AD,9,FALSE)="RR",
            "Disponible",
            "Firmas SAP"
        )
    ),
    "CONSULTAR"
)</f>
        <v>No Disponible</v>
      </c>
      <c r="Q618" s="460" t="str">
        <f>MID(Tabla13[[#This Row],[Código Indra]],1,13)</f>
        <v>0973525140800</v>
      </c>
      <c r="R618" s="464" t="str">
        <f>IF(ISNA(VLOOKUP(Tabla13[[#This Row],[Código Indra]],#REF!,1,FALSE)),"NO", "SI")</f>
        <v>SI</v>
      </c>
      <c r="S618" s="460" t="str">
        <f>IF(ISNA(VLOOKUP(Tabla13[[#This Row],[Código Indra]],Tabla132[[Código INDRA]:[Nombre]],1,FALSE)),"NO", "SI")</f>
        <v>NO</v>
      </c>
      <c r="T618" s="465"/>
      <c r="U618" s="465" t="s">
        <v>256</v>
      </c>
      <c r="V618" s="464" t="e">
        <f>VLOOKUP(Tabla13[[#This Row],[Apoyo]],'LM SAP'!A:I,9,FALSE)</f>
        <v>#N/A</v>
      </c>
      <c r="X618" s="466"/>
      <c r="Y618" s="464">
        <f>Tabla13[[#This Row],[ID]]</f>
        <v>618</v>
      </c>
    </row>
    <row r="619" spans="1:25" s="464" customFormat="1" ht="48" x14ac:dyDescent="0.25">
      <c r="A619" s="577">
        <v>618</v>
      </c>
      <c r="B619" s="454" t="s">
        <v>3132</v>
      </c>
      <c r="C619" s="469" t="s">
        <v>359</v>
      </c>
      <c r="D619" s="456" t="s">
        <v>319</v>
      </c>
      <c r="E619" s="457" t="s">
        <v>3133</v>
      </c>
      <c r="F619" s="458">
        <v>1</v>
      </c>
      <c r="G619" s="459"/>
      <c r="H619" s="460"/>
      <c r="I619" s="460" t="s">
        <v>276</v>
      </c>
      <c r="J619" s="460" t="s">
        <v>1318</v>
      </c>
      <c r="K619" s="595" t="s">
        <v>1411</v>
      </c>
      <c r="L619" s="460">
        <v>60007012</v>
      </c>
      <c r="M619" s="461">
        <v>45833</v>
      </c>
      <c r="N619" s="518">
        <v>45834</v>
      </c>
      <c r="O619" s="519" t="s">
        <v>3129</v>
      </c>
      <c r="P619" s="574" t="str">
        <f>IF(LEFT(B619,5)="09735",
    IF(ISNA(VLOOKUP(Tabla13[[#This Row],[Apoyo]],'LM SAP'!A:G,1,FALSE)),
        "No Disponible",
        IF(VLOOKUP(Tabla13[[#This Row],[Apoyo]],'LM SAP'!A:AD,9,FALSE)="RR",
            "Disponible",
            "Firmas SAP"
        )
    ),
    "CONSULTAR"
)</f>
        <v>No Disponible</v>
      </c>
      <c r="Q619" s="460" t="str">
        <f>MID(Tabla13[[#This Row],[Código Indra]],1,13)</f>
        <v>0973525111100</v>
      </c>
      <c r="R619" s="464" t="str">
        <f>IF(ISNA(VLOOKUP(Tabla13[[#This Row],[Código Indra]],#REF!,1,FALSE)),"NO", "SI")</f>
        <v>SI</v>
      </c>
      <c r="S619" s="460" t="str">
        <f>IF(ISNA(VLOOKUP(Tabla13[[#This Row],[Código Indra]],Tabla132[[Código INDRA]:[Nombre]],1,FALSE)),"NO", "SI")</f>
        <v>NO</v>
      </c>
      <c r="T619" s="465"/>
      <c r="U619" s="465" t="s">
        <v>256</v>
      </c>
      <c r="V619" s="464" t="e">
        <f>VLOOKUP(Tabla13[[#This Row],[Apoyo]],'LM SAP'!A:I,9,FALSE)</f>
        <v>#N/A</v>
      </c>
      <c r="X619" s="466"/>
      <c r="Y619" s="464">
        <f>Tabla13[[#This Row],[ID]]</f>
        <v>618</v>
      </c>
    </row>
    <row r="620" spans="1:25" s="464" customFormat="1" ht="75" x14ac:dyDescent="0.25">
      <c r="A620" s="577">
        <v>619</v>
      </c>
      <c r="B620" s="561" t="s">
        <v>3134</v>
      </c>
      <c r="C620" s="562" t="s">
        <v>3135</v>
      </c>
      <c r="D620" s="469"/>
      <c r="E620" s="572" t="s">
        <v>3136</v>
      </c>
      <c r="F620" s="596" t="s">
        <v>3137</v>
      </c>
      <c r="G620" s="573"/>
      <c r="H620" s="553"/>
      <c r="I620" s="553" t="s">
        <v>251</v>
      </c>
      <c r="J620" s="553"/>
      <c r="K620" s="460" t="s">
        <v>1411</v>
      </c>
      <c r="L620" s="553">
        <v>60007355</v>
      </c>
      <c r="M620" s="521">
        <v>45859</v>
      </c>
      <c r="N620" s="521">
        <v>45861</v>
      </c>
      <c r="O620" s="579" t="s">
        <v>3138</v>
      </c>
      <c r="P620" s="568" t="str">
        <f>IF(LEFT(B620,5)="09735",
    IF(ISNA(VLOOKUP(Tabla13[[#This Row],[Apoyo]],'LM SAP'!A:G,1,FALSE)),
        "No Disponible",
        IF(VLOOKUP(Tabla13[[#This Row],[Apoyo]],'LM SAP'!A:AD,9,FALSE)="RR",
            "Disponible",
            "Firmas SAP"
        )
    ),
    "CONSULTAR"
)</f>
        <v>No Disponible</v>
      </c>
      <c r="Q620" s="553" t="str">
        <f>MID(Tabla13[[#This Row],[Código Indra]],1,13)</f>
        <v>0973525204200</v>
      </c>
      <c r="R620" s="464" t="str">
        <f>IF(ISNA(VLOOKUP(Tabla13[[#This Row],[Código Indra]],#REF!,1,FALSE)),"NO", "SI")</f>
        <v>SI</v>
      </c>
      <c r="S620" s="553" t="str">
        <f>IF(ISNA(VLOOKUP(Tabla13[[#This Row],[Código Indra]],Tabla132[[Código INDRA]:[Nombre]],1,FALSE)),"NO", "SI")</f>
        <v>NO</v>
      </c>
      <c r="T620" s="567"/>
      <c r="U620" s="465" t="s">
        <v>256</v>
      </c>
      <c r="V620" s="464" t="e">
        <f>VLOOKUP(Tabla13[[#This Row],[Apoyo]],'LM SAP'!A:I,9,FALSE)</f>
        <v>#N/A</v>
      </c>
      <c r="X620" s="466"/>
      <c r="Y620" s="464">
        <f>Tabla13[[#This Row],[ID]]</f>
        <v>619</v>
      </c>
    </row>
    <row r="621" spans="1:25" s="464" customFormat="1" ht="96" x14ac:dyDescent="0.25">
      <c r="A621" s="577">
        <v>620</v>
      </c>
      <c r="B621" s="454" t="s">
        <v>189</v>
      </c>
      <c r="C621" s="469" t="s">
        <v>190</v>
      </c>
      <c r="D621" s="469" t="s">
        <v>190</v>
      </c>
      <c r="E621" s="457" t="s">
        <v>685</v>
      </c>
      <c r="F621" s="458">
        <v>1</v>
      </c>
      <c r="G621" s="459"/>
      <c r="H621" s="460" t="s">
        <v>2000</v>
      </c>
      <c r="I621" s="460" t="s">
        <v>276</v>
      </c>
      <c r="J621" s="460" t="s">
        <v>1318</v>
      </c>
      <c r="K621" s="460" t="s">
        <v>220</v>
      </c>
      <c r="L621" s="460">
        <v>60005546</v>
      </c>
      <c r="M621" s="461">
        <v>45678</v>
      </c>
      <c r="N621" s="461">
        <v>45750</v>
      </c>
      <c r="O621" s="467" t="s">
        <v>3139</v>
      </c>
      <c r="P621" s="568" t="str">
        <f>IF(LEFT(B621,5)="09735",
    IF(ISNA(VLOOKUP(Tabla13[[#This Row],[Apoyo]],'LM SAP'!A:G,1,FALSE)),
        "No Disponible",
        IF(VLOOKUP(Tabla13[[#This Row],[Apoyo]],'LM SAP'!A:AD,9,FALSE)="RR",
            "Disponible",
            "Firmas SAP"
        )
    ),
    "CONSULTAR"
)</f>
        <v>Disponible</v>
      </c>
      <c r="Q621" s="460" t="str">
        <f>MID(Tabla13[[#This Row],[Código Indra]],1,13)</f>
        <v>0973525180000</v>
      </c>
      <c r="R621" s="464" t="str">
        <f>IF(ISNA(VLOOKUP(Tabla13[[#This Row],[Código Indra]],#REF!,1,FALSE)),"NO", "SI")</f>
        <v>SI</v>
      </c>
      <c r="S621" s="460" t="str">
        <f>IF(ISNA(VLOOKUP(Tabla13[[#This Row],[Código Indra]],Tabla132[[Código INDRA]:[Nombre]],1,FALSE)),"NO", "SI")</f>
        <v>SI</v>
      </c>
      <c r="T621" s="465"/>
      <c r="U621" s="511" t="s">
        <v>227</v>
      </c>
      <c r="V621" s="464" t="str">
        <f>VLOOKUP(Tabla13[[#This Row],[Apoyo]],'LM SAP'!A:I,9,FALSE)</f>
        <v>RR</v>
      </c>
      <c r="X621" s="466"/>
      <c r="Y621" s="464">
        <f>Tabla13[[#This Row],[ID]]</f>
        <v>620</v>
      </c>
    </row>
    <row r="622" spans="1:25" s="464" customFormat="1" ht="72" x14ac:dyDescent="0.25">
      <c r="A622" s="577">
        <v>621</v>
      </c>
      <c r="B622" s="454" t="s">
        <v>184</v>
      </c>
      <c r="C622" s="469" t="s">
        <v>185</v>
      </c>
      <c r="D622" s="456" t="s">
        <v>190</v>
      </c>
      <c r="E622" s="457" t="s">
        <v>3140</v>
      </c>
      <c r="F622" s="458">
        <v>1</v>
      </c>
      <c r="G622" s="459"/>
      <c r="H622" s="460" t="s">
        <v>2000</v>
      </c>
      <c r="I622" s="460" t="s">
        <v>276</v>
      </c>
      <c r="J622" s="460" t="s">
        <v>1318</v>
      </c>
      <c r="K622" s="460" t="s">
        <v>1411</v>
      </c>
      <c r="L622" s="460">
        <v>60005480</v>
      </c>
      <c r="M622" s="461">
        <v>45665</v>
      </c>
      <c r="N622" s="461">
        <v>45694</v>
      </c>
      <c r="O622" s="467" t="s">
        <v>3141</v>
      </c>
      <c r="P622" s="568" t="str">
        <f>IF(LEFT(B622,5)="09735",
    IF(ISNA(VLOOKUP(Tabla13[[#This Row],[Apoyo]],'LM SAP'!A:G,1,FALSE)),
        "No Disponible",
        IF(VLOOKUP(Tabla13[[#This Row],[Apoyo]],'LM SAP'!A:AD,9,FALSE)="RR",
            "Disponible",
            "Firmas SAP"
        )
    ),
    "CONSULTAR"
)</f>
        <v>No Disponible</v>
      </c>
      <c r="Q622" s="460" t="str">
        <f>MID(Tabla13[[#This Row],[Código Indra]],1,13)</f>
        <v>0973525270800</v>
      </c>
      <c r="R622" s="464" t="str">
        <f>IF(ISNA(VLOOKUP(Tabla13[[#This Row],[Código Indra]],#REF!,1,FALSE)),"NO", "SI")</f>
        <v>SI</v>
      </c>
      <c r="S622" s="460" t="str">
        <f>IF(ISNA(VLOOKUP(Tabla13[[#This Row],[Código Indra]],Tabla132[[Código INDRA]:[Nombre]],1,FALSE)),"NO", "SI")</f>
        <v>SI</v>
      </c>
      <c r="T622" s="465"/>
      <c r="U622" s="464" t="s">
        <v>227</v>
      </c>
      <c r="V622" s="464" t="e">
        <f>VLOOKUP(Tabla13[[#This Row],[Apoyo]],'LM SAP'!A:I,9,FALSE)</f>
        <v>#N/A</v>
      </c>
      <c r="X622" s="466"/>
      <c r="Y622" s="464">
        <f>Tabla13[[#This Row],[ID]]</f>
        <v>621</v>
      </c>
    </row>
    <row r="623" spans="1:25" s="464" customFormat="1" ht="36" x14ac:dyDescent="0.25">
      <c r="A623" s="577">
        <v>622</v>
      </c>
      <c r="B623" s="578" t="s">
        <v>3130</v>
      </c>
      <c r="C623" s="562" t="s">
        <v>415</v>
      </c>
      <c r="D623" s="563" t="s">
        <v>142</v>
      </c>
      <c r="E623" s="564" t="s">
        <v>3142</v>
      </c>
      <c r="F623" s="565">
        <v>1</v>
      </c>
      <c r="G623" s="573"/>
      <c r="H623" s="553"/>
      <c r="I623" s="553" t="s">
        <v>276</v>
      </c>
      <c r="J623" s="553"/>
      <c r="K623" s="460" t="s">
        <v>1411</v>
      </c>
      <c r="L623" s="553">
        <v>60007220</v>
      </c>
      <c r="M623" s="521">
        <v>45842</v>
      </c>
      <c r="N623" s="521">
        <v>45842</v>
      </c>
      <c r="O623" s="597" t="s">
        <v>3143</v>
      </c>
      <c r="P623" s="568" t="str">
        <f>IF(LEFT(B623,5)="09735",
    IF(ISNA(VLOOKUP(Tabla13[[#This Row],[Apoyo]],'LM SAP'!A:G,1,FALSE)),
        "No Disponible",
        IF(VLOOKUP(Tabla13[[#This Row],[Apoyo]],'LM SAP'!A:AD,9,FALSE)="RR",
            "Disponible",
            "Firmas SAP"
        )
    ),
    "CONSULTAR"
)</f>
        <v>No Disponible</v>
      </c>
      <c r="Q623" s="553" t="str">
        <f>MID(Tabla13[[#This Row],[Código Indra]],1,13)</f>
        <v>0973525140800</v>
      </c>
      <c r="R623" s="464" t="str">
        <f>IF(ISNA(VLOOKUP(Tabla13[[#This Row],[Código Indra]],#REF!,1,FALSE)),"NO", "SI")</f>
        <v>SI</v>
      </c>
      <c r="S623" s="553" t="str">
        <f>IF(ISNA(VLOOKUP(Tabla13[[#This Row],[Código Indra]],Tabla132[[Código INDRA]:[Nombre]],1,FALSE)),"NO", "SI")</f>
        <v>NO</v>
      </c>
      <c r="T623" s="567"/>
      <c r="U623" s="510" t="s">
        <v>256</v>
      </c>
      <c r="V623" s="464" t="e">
        <f>VLOOKUP(Tabla13[[#This Row],[Apoyo]],'LM SAP'!A:I,9,FALSE)</f>
        <v>#N/A</v>
      </c>
      <c r="X623" s="466"/>
      <c r="Y623" s="464">
        <f>Tabla13[[#This Row],[ID]]</f>
        <v>622</v>
      </c>
    </row>
    <row r="624" spans="1:25" s="464" customFormat="1" ht="48" x14ac:dyDescent="0.25">
      <c r="A624" s="577">
        <v>623</v>
      </c>
      <c r="B624" s="561" t="s">
        <v>3144</v>
      </c>
      <c r="C624" s="598" t="s">
        <v>94</v>
      </c>
      <c r="D624" s="563"/>
      <c r="E624" s="457" t="s">
        <v>3145</v>
      </c>
      <c r="F624" s="565"/>
      <c r="G624" s="573"/>
      <c r="H624" s="553"/>
      <c r="I624" s="553"/>
      <c r="J624" s="553"/>
      <c r="K624" s="460" t="s">
        <v>1411</v>
      </c>
      <c r="L624" s="553">
        <v>60007427</v>
      </c>
      <c r="M624" s="521">
        <v>45895</v>
      </c>
      <c r="N624" s="521"/>
      <c r="O624" s="579" t="s">
        <v>3146</v>
      </c>
      <c r="P624" s="568" t="str">
        <f>IF(LEFT(B624,5)="09735",
    IF(ISNA(VLOOKUP(Tabla13[[#This Row],[Apoyo]],'LM SAP'!A:G,1,FALSE)),
        "No Disponible",
        IF(VLOOKUP(Tabla13[[#This Row],[Apoyo]],'LM SAP'!A:AD,9,FALSE)="RR",
            "Disponible",
            "Firmas SAP"
        )
    ),
    "CONSULTAR"
)</f>
        <v>No Disponible</v>
      </c>
      <c r="Q624" s="553" t="str">
        <f>MID(Tabla13[[#This Row],[Código Indra]],1,13)</f>
        <v>0973524070300</v>
      </c>
      <c r="R624" s="464" t="str">
        <f>IF(ISNA(VLOOKUP(Tabla13[[#This Row],[Código Indra]],#REF!,1,FALSE)),"NO", "SI")</f>
        <v>SI</v>
      </c>
      <c r="S624" s="553" t="str">
        <f>IF(ISNA(VLOOKUP(Tabla13[[#This Row],[Código Indra]],Tabla132[[Código INDRA]:[Nombre]],1,FALSE)),"NO", "SI")</f>
        <v>NO</v>
      </c>
      <c r="T624" s="567"/>
      <c r="V624" s="464" t="e">
        <f>VLOOKUP(Tabla13[[#This Row],[Apoyo]],'LM SAP'!A:I,9,FALSE)</f>
        <v>#N/A</v>
      </c>
      <c r="X624" s="466"/>
      <c r="Y624" s="464">
        <f>Tabla13[[#This Row],[ID]]</f>
        <v>623</v>
      </c>
    </row>
    <row r="625" spans="1:25" s="464" customFormat="1" ht="84" x14ac:dyDescent="0.25">
      <c r="A625" s="577">
        <v>619</v>
      </c>
      <c r="B625" s="561" t="s">
        <v>3147</v>
      </c>
      <c r="C625" s="562" t="s">
        <v>3135</v>
      </c>
      <c r="D625" s="563"/>
      <c r="E625" s="572" t="s">
        <v>3136</v>
      </c>
      <c r="F625" s="565">
        <v>4</v>
      </c>
      <c r="G625" s="573"/>
      <c r="H625" s="553"/>
      <c r="I625" s="553" t="s">
        <v>251</v>
      </c>
      <c r="J625" s="553"/>
      <c r="K625" s="529" t="s">
        <v>1411</v>
      </c>
      <c r="L625" s="529">
        <v>60007451</v>
      </c>
      <c r="M625" s="547">
        <v>45904</v>
      </c>
      <c r="N625" s="547">
        <v>45936</v>
      </c>
      <c r="O625" s="594" t="s">
        <v>3148</v>
      </c>
      <c r="P625" s="568" t="str">
        <f>IF(LEFT(B625,5)="09735",
    IF(ISNA(VLOOKUP(Tabla13[[#This Row],[Apoyo]],'LM SAP'!A:G,1,FALSE)),
        "No Disponible",
        IF(VLOOKUP(Tabla13[[#This Row],[Apoyo]],'LM SAP'!A:AD,9,FALSE)="RR",
            "Disponible",
            "Firmas SAP"
        )
    ),
    "CONSULTAR"
)</f>
        <v>No Disponible</v>
      </c>
      <c r="Q625" s="553" t="str">
        <f>MID(Tabla13[[#This Row],[Código Indra]],1,13)</f>
        <v>0973525204200</v>
      </c>
      <c r="R625" s="460" t="str">
        <f>IF(ISNA(VLOOKUP(Tabla13[[#This Row],[Código Indra]],#REF!,1,FALSE)),"NO", "SI")</f>
        <v>SI</v>
      </c>
      <c r="S625" s="553" t="str">
        <f>IF(ISNA(VLOOKUP(Tabla13[[#This Row],[Código Indra]],Tabla132[[Código INDRA]:[Nombre]],1,FALSE)),"NO", "SI")</f>
        <v>NO</v>
      </c>
      <c r="T625" s="567"/>
      <c r="U625" s="567" t="s">
        <v>256</v>
      </c>
      <c r="V625" s="464" t="e">
        <f>VLOOKUP(Tabla13[[#This Row],[Apoyo]],'LM SAP'!A:I,9,FALSE)</f>
        <v>#N/A</v>
      </c>
      <c r="X625" s="466"/>
      <c r="Y625" s="464">
        <f>Tabla13[[#This Row],[ID]]</f>
        <v>619</v>
      </c>
    </row>
    <row r="626" spans="1:25" s="464" customFormat="1" ht="24" x14ac:dyDescent="0.25">
      <c r="A626" s="577">
        <v>620</v>
      </c>
      <c r="B626" s="561" t="s">
        <v>2357</v>
      </c>
      <c r="C626" s="562" t="s">
        <v>3149</v>
      </c>
      <c r="D626" s="563" t="s">
        <v>3150</v>
      </c>
      <c r="E626" s="561" t="s">
        <v>3151</v>
      </c>
      <c r="F626" s="565">
        <v>1</v>
      </c>
      <c r="G626" s="573"/>
      <c r="H626" s="553"/>
      <c r="I626" s="553" t="s">
        <v>251</v>
      </c>
      <c r="J626" s="553"/>
      <c r="K626" s="517" t="s">
        <v>1411</v>
      </c>
      <c r="L626" s="553">
        <v>60007474</v>
      </c>
      <c r="M626" s="521">
        <v>45917</v>
      </c>
      <c r="N626" s="521">
        <v>45923</v>
      </c>
      <c r="O626" s="579" t="s">
        <v>3152</v>
      </c>
      <c r="P626" s="568" t="str">
        <f>IF(LEFT(B626,5)="09735",
    IF(ISNA(VLOOKUP(Tabla13[[#This Row],[Apoyo]],'LM SAP'!A:G,1,FALSE)),
        "No Disponible",
        IF(VLOOKUP(Tabla13[[#This Row],[Apoyo]],'LM SAP'!A:AD,9,FALSE)="RR",
            "Disponible",
            "Firmas SAP"
        )
    ),
    "CONSULTAR"
)</f>
        <v>No Disponible</v>
      </c>
      <c r="Q626" s="553" t="str">
        <f>MID(Tabla13[[#This Row],[Código Indra]],1,13)</f>
        <v>0973544330117</v>
      </c>
      <c r="R626" s="464" t="str">
        <f>IF(ISNA(VLOOKUP(Tabla13[[#This Row],[Código Indra]],#REF!,1,FALSE)),"NO", "SI")</f>
        <v>SI</v>
      </c>
      <c r="S626" s="553" t="str">
        <f>IF(ISNA(VLOOKUP(Tabla13[[#This Row],[Código Indra]],Tabla132[[Código INDRA]:[Nombre]],1,FALSE)),"NO", "SI")</f>
        <v>NO</v>
      </c>
      <c r="T626" s="567"/>
      <c r="V626" s="464" t="e">
        <f>VLOOKUP(Tabla13[[#This Row],[Apoyo]],'LM SAP'!A:I,9,FALSE)</f>
        <v>#N/A</v>
      </c>
      <c r="X626" s="466"/>
      <c r="Y626" s="464">
        <f>Tabla13[[#This Row],[ID]]</f>
        <v>620</v>
      </c>
    </row>
    <row r="627" spans="1:25" s="464" customFormat="1" ht="24" x14ac:dyDescent="0.25">
      <c r="A627" s="577">
        <v>630</v>
      </c>
      <c r="B627" s="561" t="s">
        <v>3153</v>
      </c>
      <c r="C627" s="562" t="s">
        <v>3154</v>
      </c>
      <c r="D627" s="563" t="s">
        <v>167</v>
      </c>
      <c r="E627" s="599" t="s">
        <v>3155</v>
      </c>
      <c r="F627" s="565">
        <v>1</v>
      </c>
      <c r="G627" s="573"/>
      <c r="H627" s="553"/>
      <c r="I627" s="553" t="s">
        <v>251</v>
      </c>
      <c r="J627" s="553"/>
      <c r="K627" s="517" t="s">
        <v>1411</v>
      </c>
      <c r="L627" s="553">
        <v>60007475</v>
      </c>
      <c r="M627" s="547">
        <v>45917</v>
      </c>
      <c r="N627" s="521">
        <v>45923</v>
      </c>
      <c r="O627" s="579" t="s">
        <v>3152</v>
      </c>
      <c r="P627" s="568" t="str">
        <f>IF(LEFT(B627,5)="09735",
    IF(ISNA(VLOOKUP(Tabla13[[#This Row],[Apoyo]],'LM SAP'!A:G,1,FALSE)),
        "No Disponible",
        IF(VLOOKUP(Tabla13[[#This Row],[Apoyo]],'LM SAP'!A:AD,9,FALSE)="RR",
            "Disponible",
            "Firmas SAP"
        )
    ),
    "CONSULTAR"
)</f>
        <v>No Disponible</v>
      </c>
      <c r="Q627" s="553" t="str">
        <f>MID(Tabla13[[#This Row],[Código Indra]],1,13)</f>
        <v>0973544000115</v>
      </c>
      <c r="R627" s="464" t="str">
        <f>IF(ISNA(VLOOKUP(Tabla13[[#This Row],[Código Indra]],#REF!,1,FALSE)),"NO", "SI")</f>
        <v>SI</v>
      </c>
      <c r="S627" s="553" t="str">
        <f>IF(ISNA(VLOOKUP(Tabla13[[#This Row],[Código Indra]],Tabla132[[Código INDRA]:[Nombre]],1,FALSE)),"NO", "SI")</f>
        <v>NO</v>
      </c>
      <c r="T627" s="567"/>
      <c r="U627" s="567"/>
      <c r="V627" s="464" t="e">
        <f>VLOOKUP(Tabla13[[#This Row],[Apoyo]],'LM SAP'!A:I,9,FALSE)</f>
        <v>#N/A</v>
      </c>
      <c r="X627" s="466"/>
      <c r="Y627" s="464">
        <f>Tabla13[[#This Row],[ID]]</f>
        <v>630</v>
      </c>
    </row>
    <row r="628" spans="1:25" s="464" customFormat="1" ht="60" x14ac:dyDescent="0.25">
      <c r="A628" s="577">
        <v>631</v>
      </c>
      <c r="B628" s="561" t="s">
        <v>970</v>
      </c>
      <c r="C628" s="562" t="s">
        <v>971</v>
      </c>
      <c r="D628" s="563" t="s">
        <v>3156</v>
      </c>
      <c r="E628" s="572" t="s">
        <v>3157</v>
      </c>
      <c r="F628" s="565">
        <v>2</v>
      </c>
      <c r="G628" s="573"/>
      <c r="H628" s="553" t="s">
        <v>2000</v>
      </c>
      <c r="I628" s="553" t="s">
        <v>251</v>
      </c>
      <c r="J628" s="553"/>
      <c r="K628" s="517" t="s">
        <v>1411</v>
      </c>
      <c r="L628" s="553">
        <v>60007476</v>
      </c>
      <c r="M628" s="521">
        <v>45917</v>
      </c>
      <c r="N628" s="521">
        <v>45925</v>
      </c>
      <c r="O628" s="600" t="s">
        <v>3158</v>
      </c>
      <c r="P628" s="568" t="str">
        <f>IF(LEFT(B628,5)="09735",
    IF(ISNA(VLOOKUP(Tabla13[[#This Row],[Apoyo]],'LM SAP'!A:G,1,FALSE)),
        "No Disponible",
        IF(VLOOKUP(Tabla13[[#This Row],[Apoyo]],'LM SAP'!A:AD,9,FALSE)="RR",
            "Disponible",
            "Firmas SAP"
        )
    ),
    "CONSULTAR"
)</f>
        <v>No Disponible</v>
      </c>
      <c r="Q628" s="553" t="str">
        <f>MID(Tabla13[[#This Row],[Código Indra]],1,13)</f>
        <v>0973530111000</v>
      </c>
      <c r="R628" s="460" t="str">
        <f>IF(ISNA(VLOOKUP(Tabla13[[#This Row],[Código Indra]],#REF!,1,FALSE)),"NO", "SI")</f>
        <v>SI</v>
      </c>
      <c r="S628" s="553" t="str">
        <f>IF(ISNA(VLOOKUP(Tabla13[[#This Row],[Código Indra]],Tabla132[[Código INDRA]:[Nombre]],1,FALSE)),"NO", "SI")</f>
        <v>SI</v>
      </c>
      <c r="T628" s="567"/>
      <c r="V628" s="464" t="e">
        <f>VLOOKUP(Tabla13[[#This Row],[Apoyo]],'LM SAP'!A:I,9,FALSE)</f>
        <v>#N/A</v>
      </c>
      <c r="X628" s="466"/>
      <c r="Y628" s="464">
        <f>Tabla13[[#This Row],[ID]]</f>
        <v>631</v>
      </c>
    </row>
    <row r="629" spans="1:25" s="464" customFormat="1" ht="24" x14ac:dyDescent="0.25">
      <c r="A629" s="577">
        <v>632</v>
      </c>
      <c r="B629" s="561" t="s">
        <v>3159</v>
      </c>
      <c r="C629" s="562" t="s">
        <v>3160</v>
      </c>
      <c r="D629" s="563" t="s">
        <v>3161</v>
      </c>
      <c r="E629" s="572" t="s">
        <v>3162</v>
      </c>
      <c r="F629" s="565">
        <v>1</v>
      </c>
      <c r="G629" s="573"/>
      <c r="H629" s="553" t="s">
        <v>2000</v>
      </c>
      <c r="I629" s="553" t="s">
        <v>251</v>
      </c>
      <c r="J629" s="553"/>
      <c r="K629" s="460" t="s">
        <v>1411</v>
      </c>
      <c r="L629" s="529">
        <v>60007507</v>
      </c>
      <c r="M629" s="547">
        <v>45917</v>
      </c>
      <c r="N629" s="547">
        <v>45918</v>
      </c>
      <c r="O629" s="594" t="s">
        <v>3163</v>
      </c>
      <c r="P629" s="574" t="str">
        <f>IF(LEFT(B629,5)="09735",
    IF(ISNA(VLOOKUP(Tabla13[[#This Row],[Apoyo]],'LM SAP'!A:G,1,FALSE)),
        "No Disponible",
        IF(VLOOKUP(Tabla13[[#This Row],[Apoyo]],'LM SAP'!A:AD,9,FALSE)="RR",
            "Disponible",
            "Firmas SAP"
        )
    ),
    "CONSULTAR"
)</f>
        <v>No Disponible</v>
      </c>
      <c r="Q629" s="553" t="str">
        <f>MID(Tabla13[[#This Row],[Código Indra]],1,13)</f>
        <v>0973525191400</v>
      </c>
      <c r="R629" s="464" t="str">
        <f>IF(ISNA(VLOOKUP(Tabla13[[#This Row],[Código Indra]],#REF!,1,FALSE)),"NO", "SI")</f>
        <v>SI</v>
      </c>
      <c r="S629" s="553" t="str">
        <f>IF(ISNA(VLOOKUP(Tabla13[[#This Row],[Código Indra]],Tabla132[[Código INDRA]:[Nombre]],1,FALSE)),"NO", "SI")</f>
        <v>NO</v>
      </c>
      <c r="T629" s="567"/>
      <c r="V629" s="464" t="e">
        <f>VLOOKUP(Tabla13[[#This Row],[Apoyo]],'LM SAP'!A:I,9,FALSE)</f>
        <v>#N/A</v>
      </c>
      <c r="X629" s="466"/>
      <c r="Y629" s="464">
        <f>Tabla13[[#This Row],[ID]]</f>
        <v>632</v>
      </c>
    </row>
    <row r="630" spans="1:25" s="464" customFormat="1" ht="36" x14ac:dyDescent="0.25">
      <c r="A630" s="577">
        <v>633</v>
      </c>
      <c r="B630" s="561" t="s">
        <v>3085</v>
      </c>
      <c r="C630" s="562" t="s">
        <v>3164</v>
      </c>
      <c r="D630" s="563" t="s">
        <v>3161</v>
      </c>
      <c r="E630" s="572" t="s">
        <v>3165</v>
      </c>
      <c r="F630" s="565">
        <v>1</v>
      </c>
      <c r="G630" s="573"/>
      <c r="H630" s="553" t="s">
        <v>2000</v>
      </c>
      <c r="I630" s="553" t="s">
        <v>251</v>
      </c>
      <c r="J630" s="553"/>
      <c r="K630" s="460" t="s">
        <v>1411</v>
      </c>
      <c r="L630" s="529">
        <v>60007508</v>
      </c>
      <c r="M630" s="547">
        <v>45917</v>
      </c>
      <c r="N630" s="547">
        <v>45918</v>
      </c>
      <c r="O630" s="594" t="s">
        <v>3166</v>
      </c>
      <c r="P630" s="574" t="str">
        <f>IF(LEFT(B630,5)="09735",
    IF(ISNA(VLOOKUP(Tabla13[[#This Row],[Apoyo]],'LM SAP'!A:G,1,FALSE)),
        "No Disponible",
        IF(VLOOKUP(Tabla13[[#This Row],[Apoyo]],'LM SAP'!A:AD,9,FALSE)="RR",
            "Disponible",
            "Firmas SAP"
        )
    ),
    "CONSULTAR"
)</f>
        <v>No Disponible</v>
      </c>
      <c r="Q630" s="553" t="str">
        <f>MID(Tabla13[[#This Row],[Código Indra]],1,13)</f>
        <v>0973525191500</v>
      </c>
      <c r="R630" s="464" t="str">
        <f>IF(ISNA(VLOOKUP(Tabla13[[#This Row],[Código Indra]],#REF!,1,FALSE)),"NO", "SI")</f>
        <v>SI</v>
      </c>
      <c r="S630" s="553" t="str">
        <f>IF(ISNA(VLOOKUP(Tabla13[[#This Row],[Código Indra]],Tabla132[[Código INDRA]:[Nombre]],1,FALSE)),"NO", "SI")</f>
        <v>NO</v>
      </c>
      <c r="T630" s="567"/>
      <c r="V630" s="464" t="e">
        <f>VLOOKUP(Tabla13[[#This Row],[Apoyo]],'LM SAP'!A:I,9,FALSE)</f>
        <v>#N/A</v>
      </c>
      <c r="X630" s="466"/>
      <c r="Y630" s="464">
        <f>Tabla13[[#This Row],[ID]]</f>
        <v>633</v>
      </c>
    </row>
    <row r="631" spans="1:25" s="464" customFormat="1" ht="36" x14ac:dyDescent="0.25">
      <c r="A631" s="577">
        <v>634</v>
      </c>
      <c r="B631" s="561" t="s">
        <v>1127</v>
      </c>
      <c r="C631" s="562" t="s">
        <v>2305</v>
      </c>
      <c r="D631" s="563" t="s">
        <v>80</v>
      </c>
      <c r="E631" s="572" t="s">
        <v>1129</v>
      </c>
      <c r="F631" s="565">
        <v>1</v>
      </c>
      <c r="G631" s="573"/>
      <c r="H631" s="553"/>
      <c r="I631" s="553" t="s">
        <v>251</v>
      </c>
      <c r="J631" s="553"/>
      <c r="K631" s="517" t="s">
        <v>1411</v>
      </c>
      <c r="L631" s="553">
        <v>60007541</v>
      </c>
      <c r="M631" s="521">
        <v>45923</v>
      </c>
      <c r="N631" s="521">
        <v>45923</v>
      </c>
      <c r="O631" s="579" t="s">
        <v>3167</v>
      </c>
      <c r="P631" s="568" t="str">
        <f>IF(LEFT(B631,5)="09735",
    IF(ISNA(VLOOKUP(Tabla13[[#This Row],[Apoyo]],'LM SAP'!A:G,1,FALSE)),
        "No Disponible",
        IF(VLOOKUP(Tabla13[[#This Row],[Apoyo]],'LM SAP'!A:AD,9,FALSE)="RR",
            "Disponible",
            "Firmas SAP"
        )
    ),
    "CONSULTAR"
)</f>
        <v>No Disponible</v>
      </c>
      <c r="Q631" s="553" t="str">
        <f>MID(Tabla13[[#This Row],[Código Indra]],1,13)</f>
        <v>0973544300300</v>
      </c>
      <c r="R631" s="464" t="str">
        <f>IF(ISNA(VLOOKUP(Tabla13[[#This Row],[Código Indra]],#REF!,1,FALSE)),"NO", "SI")</f>
        <v>SI</v>
      </c>
      <c r="S631" s="553" t="str">
        <f>IF(ISNA(VLOOKUP(Tabla13[[#This Row],[Código Indra]],Tabla132[[Código INDRA]:[Nombre]],1,FALSE)),"NO", "SI")</f>
        <v>NO</v>
      </c>
      <c r="T631" s="567"/>
      <c r="V631" s="464" t="e">
        <f>VLOOKUP(Tabla13[[#This Row],[Apoyo]],'LM SAP'!A:I,9,FALSE)</f>
        <v>#N/A</v>
      </c>
      <c r="X631" s="466"/>
      <c r="Y631" s="464">
        <f>Tabla13[[#This Row],[ID]]</f>
        <v>634</v>
      </c>
    </row>
    <row r="632" spans="1:25" s="464" customFormat="1" ht="60.75" thickBot="1" x14ac:dyDescent="0.3">
      <c r="A632" s="577">
        <v>635</v>
      </c>
      <c r="B632" s="561" t="s">
        <v>3168</v>
      </c>
      <c r="C632" s="562" t="s">
        <v>382</v>
      </c>
      <c r="D632" s="601" t="s">
        <v>319</v>
      </c>
      <c r="E632" s="564" t="s">
        <v>3169</v>
      </c>
      <c r="F632" s="565">
        <v>1</v>
      </c>
      <c r="G632" s="573"/>
      <c r="H632" s="460" t="s">
        <v>2000</v>
      </c>
      <c r="I632" s="553" t="s">
        <v>251</v>
      </c>
      <c r="J632" s="553"/>
      <c r="K632" s="517" t="s">
        <v>1411</v>
      </c>
      <c r="L632" s="553">
        <v>60007540</v>
      </c>
      <c r="M632" s="461">
        <v>45923</v>
      </c>
      <c r="N632" s="521">
        <v>45923</v>
      </c>
      <c r="O632" s="579" t="s">
        <v>3170</v>
      </c>
      <c r="P632" s="568" t="str">
        <f>IF(LEFT(B632,5)="09735",
    IF(ISNA(VLOOKUP(Tabla13[[#This Row],[Apoyo]],'LM SAP'!A:G,1,FALSE)),
        "No Disponible",
        IF(VLOOKUP(Tabla13[[#This Row],[Apoyo]],'LM SAP'!A:AD,9,FALSE)="RR",
            "Disponible",
            "Firmas SAP"
        )
    ),
    "CONSULTAR"
)</f>
        <v>No Disponible</v>
      </c>
      <c r="Q632" s="553" t="str">
        <f>MID(Tabla13[[#This Row],[Código Indra]],1,13)</f>
        <v>0973525112300</v>
      </c>
      <c r="R632" s="464" t="str">
        <f>IF(ISNA(VLOOKUP(Tabla13[[#This Row],[Código Indra]],#REF!,1,FALSE)),"NO", "SI")</f>
        <v>SI</v>
      </c>
      <c r="S632" s="553" t="str">
        <f>IF(ISNA(VLOOKUP(Tabla13[[#This Row],[Código Indra]],Tabla132[[Código INDRA]:[Nombre]],1,FALSE)),"NO", "SI")</f>
        <v>NO</v>
      </c>
      <c r="T632" s="567"/>
      <c r="V632" s="464" t="e">
        <f>VLOOKUP(Tabla13[[#This Row],[Apoyo]],'LM SAP'!A:I,9,FALSE)</f>
        <v>#N/A</v>
      </c>
      <c r="X632" s="466"/>
      <c r="Y632" s="464">
        <f>Tabla13[[#This Row],[ID]]</f>
        <v>635</v>
      </c>
    </row>
    <row r="633" spans="1:25" s="464" customFormat="1" ht="24.75" thickBot="1" x14ac:dyDescent="0.3">
      <c r="A633" s="577">
        <v>636</v>
      </c>
      <c r="B633" s="602" t="s">
        <v>3171</v>
      </c>
      <c r="C633" s="603" t="s">
        <v>3172</v>
      </c>
      <c r="D633" s="573"/>
      <c r="E633" s="457" t="s">
        <v>3173</v>
      </c>
      <c r="F633" s="465">
        <v>3</v>
      </c>
      <c r="G633" s="573"/>
      <c r="H633" s="553" t="s">
        <v>3174</v>
      </c>
      <c r="I633" s="553" t="s">
        <v>251</v>
      </c>
      <c r="J633" s="553"/>
      <c r="K633" s="517" t="s">
        <v>1521</v>
      </c>
      <c r="L633" s="553">
        <v>60007537</v>
      </c>
      <c r="M633" s="521">
        <v>45929</v>
      </c>
      <c r="N633" s="518">
        <v>45943</v>
      </c>
      <c r="O633" s="604" t="s">
        <v>3175</v>
      </c>
      <c r="P633" s="568" t="str">
        <f>IF(LEFT(B633,5)="09735",
    IF(ISNA(VLOOKUP(Tabla13[[#This Row],[Apoyo]],'LM SAP'!A:G,1,FALSE)),
        "No Disponible",
        IF(VLOOKUP(Tabla13[[#This Row],[Apoyo]],'LM SAP'!A:AD,9,FALSE)="RR",
            "Disponible",
            "Firmas SAP"
        )
    ),
    "CONSULTAR"
)</f>
        <v>CONSULTAR</v>
      </c>
      <c r="Q633" s="553" t="str">
        <f>MID(Tabla13[[#This Row],[Código Indra]],1,13)</f>
        <v>0918525900100</v>
      </c>
      <c r="R633" s="464" t="str">
        <f>IF(ISNA(VLOOKUP(Tabla13[[#This Row],[Código Indra]],#REF!,1,FALSE)),"NO", "SI")</f>
        <v>SI</v>
      </c>
      <c r="S633" s="553" t="str">
        <f>IF(ISNA(VLOOKUP(Tabla13[[#This Row],[Código Indra]],Tabla132[[Código INDRA]:[Nombre]],1,FALSE)),"NO", "SI")</f>
        <v>NO</v>
      </c>
      <c r="T633" s="567"/>
      <c r="V633" s="464" t="e">
        <f>VLOOKUP(Tabla13[[#This Row],[Apoyo]],'LM SAP'!A:I,9,FALSE)</f>
        <v>#N/A</v>
      </c>
      <c r="X633" s="466"/>
      <c r="Y633" s="464">
        <f>Tabla13[[#This Row],[ID]]</f>
        <v>636</v>
      </c>
    </row>
    <row r="634" spans="1:25" s="464" customFormat="1" ht="24.75" thickBot="1" x14ac:dyDescent="0.3">
      <c r="A634" s="577">
        <v>637</v>
      </c>
      <c r="B634" s="561" t="s">
        <v>3176</v>
      </c>
      <c r="C634" s="564" t="s">
        <v>3177</v>
      </c>
      <c r="D634" s="573"/>
      <c r="E634" s="457" t="s">
        <v>3178</v>
      </c>
      <c r="F634" s="465">
        <v>2</v>
      </c>
      <c r="G634" s="573"/>
      <c r="H634" s="553" t="s">
        <v>3174</v>
      </c>
      <c r="I634" s="553" t="s">
        <v>251</v>
      </c>
      <c r="J634" s="553"/>
      <c r="K634" s="517" t="s">
        <v>1521</v>
      </c>
      <c r="L634" s="529">
        <v>60007538</v>
      </c>
      <c r="M634" s="521">
        <v>45929</v>
      </c>
      <c r="N634" s="518">
        <v>45943</v>
      </c>
      <c r="O634" s="604" t="s">
        <v>3175</v>
      </c>
      <c r="P634" s="574" t="str">
        <f>IF(LEFT(B634,5)="09735",
    IF(ISNA(VLOOKUP(Tabla13[[#This Row],[Apoyo]],'LM SAP'!A:G,1,FALSE)),
        "No Disponible",
        IF(VLOOKUP(Tabla13[[#This Row],[Apoyo]],'LM SAP'!A:AD,9,FALSE)="RR",
            "Disponible",
            "Firmas SAP"
        )
    ),
    "CONSULTAR"
)</f>
        <v>CONSULTAR</v>
      </c>
      <c r="Q634" s="553" t="str">
        <f>MID(Tabla13[[#This Row],[Código Indra]],1,13)</f>
        <v>0970825900700</v>
      </c>
      <c r="R634" s="464" t="str">
        <f>IF(ISNA(VLOOKUP(Tabla13[[#This Row],[Código Indra]],#REF!,1,FALSE)),"NO", "SI")</f>
        <v>SI</v>
      </c>
      <c r="S634" s="553" t="str">
        <f>IF(ISNA(VLOOKUP(Tabla13[[#This Row],[Código Indra]],Tabla132[[Código INDRA]:[Nombre]],1,FALSE)),"NO", "SI")</f>
        <v>NO</v>
      </c>
      <c r="T634" s="567"/>
      <c r="V634" s="464" t="e">
        <f>VLOOKUP(Tabla13[[#This Row],[Apoyo]],'LM SAP'!A:I,9,FALSE)</f>
        <v>#N/A</v>
      </c>
      <c r="X634" s="466"/>
      <c r="Y634" s="464">
        <f>Tabla13[[#This Row],[ID]]</f>
        <v>637</v>
      </c>
    </row>
    <row r="635" spans="1:25" s="464" customFormat="1" ht="24.75" thickBot="1" x14ac:dyDescent="0.3">
      <c r="A635" s="577">
        <v>638</v>
      </c>
      <c r="B635" s="602" t="s">
        <v>3179</v>
      </c>
      <c r="C635" s="603" t="s">
        <v>3180</v>
      </c>
      <c r="D635" s="573"/>
      <c r="E635" s="457" t="s">
        <v>3181</v>
      </c>
      <c r="F635" s="465">
        <v>2</v>
      </c>
      <c r="G635" s="573"/>
      <c r="H635" s="553" t="s">
        <v>3174</v>
      </c>
      <c r="I635" s="553" t="s">
        <v>251</v>
      </c>
      <c r="J635" s="553"/>
      <c r="K635" s="517" t="s">
        <v>1521</v>
      </c>
      <c r="L635" s="529">
        <v>60007539</v>
      </c>
      <c r="M635" s="521">
        <v>45929</v>
      </c>
      <c r="N635" s="518">
        <v>45943</v>
      </c>
      <c r="O635" s="604" t="s">
        <v>3175</v>
      </c>
      <c r="P635" s="574" t="str">
        <f>IF(LEFT(B635,5)="09735",
    IF(ISNA(VLOOKUP(Tabla13[[#This Row],[Apoyo]],'LM SAP'!A:G,1,FALSE)),
        "No Disponible",
        IF(VLOOKUP(Tabla13[[#This Row],[Apoyo]],'LM SAP'!A:AD,9,FALSE)="RR",
            "Disponible",
            "Firmas SAP"
        )
    ),
    "CONSULTAR"
)</f>
        <v>No Disponible</v>
      </c>
      <c r="Q635" s="553" t="str">
        <f>MID(Tabla13[[#This Row],[Código Indra]],1,13)</f>
        <v>0973525900000</v>
      </c>
      <c r="R635" s="464" t="str">
        <f>IF(ISNA(VLOOKUP(Tabla13[[#This Row],[Código Indra]],#REF!,1,FALSE)),"NO", "SI")</f>
        <v>SI</v>
      </c>
      <c r="S635" s="553" t="str">
        <f>IF(ISNA(VLOOKUP(Tabla13[[#This Row],[Código Indra]],Tabla132[[Código INDRA]:[Nombre]],1,FALSE)),"NO", "SI")</f>
        <v>NO</v>
      </c>
      <c r="T635" s="567"/>
      <c r="V635" s="464" t="e">
        <f>VLOOKUP(Tabla13[[#This Row],[Apoyo]],'LM SAP'!A:I,9,FALSE)</f>
        <v>#N/A</v>
      </c>
      <c r="X635" s="466"/>
      <c r="Y635" s="464">
        <f>Tabla13[[#This Row],[ID]]</f>
        <v>638</v>
      </c>
    </row>
    <row r="636" spans="1:25" s="464" customFormat="1" ht="24.75" thickBot="1" x14ac:dyDescent="0.3">
      <c r="A636" s="577">
        <v>639</v>
      </c>
      <c r="B636" s="602" t="s">
        <v>3182</v>
      </c>
      <c r="C636" s="603" t="s">
        <v>3183</v>
      </c>
      <c r="D636" s="573"/>
      <c r="E636" s="457" t="s">
        <v>3184</v>
      </c>
      <c r="F636" s="465">
        <v>2</v>
      </c>
      <c r="G636" s="573"/>
      <c r="H636" s="553" t="s">
        <v>3174</v>
      </c>
      <c r="I636" s="553" t="s">
        <v>251</v>
      </c>
      <c r="J636" s="553"/>
      <c r="K636" s="517" t="s">
        <v>1521</v>
      </c>
      <c r="L636" s="529">
        <v>60007560</v>
      </c>
      <c r="M636" s="521">
        <v>45929</v>
      </c>
      <c r="N636" s="518">
        <v>45943</v>
      </c>
      <c r="O636" s="604" t="s">
        <v>3175</v>
      </c>
      <c r="P636" s="574" t="str">
        <f>IF(LEFT(B636,5)="09735",
    IF(ISNA(VLOOKUP(Tabla13[[#This Row],[Apoyo]],'LM SAP'!A:G,1,FALSE)),
        "No Disponible",
        IF(VLOOKUP(Tabla13[[#This Row],[Apoyo]],'LM SAP'!A:AD,9,FALSE)="RR",
            "Disponible",
            "Firmas SAP"
        )
    ),
    "CONSULTAR"
)</f>
        <v>No Disponible</v>
      </c>
      <c r="Q636" s="553" t="str">
        <f>MID(Tabla13[[#This Row],[Código Indra]],1,13)</f>
        <v>0973525900100</v>
      </c>
      <c r="R636" s="464" t="str">
        <f>IF(ISNA(VLOOKUP(Tabla13[[#This Row],[Código Indra]],#REF!,1,FALSE)),"NO", "SI")</f>
        <v>SI</v>
      </c>
      <c r="S636" s="553" t="str">
        <f>IF(ISNA(VLOOKUP(Tabla13[[#This Row],[Código Indra]],Tabla132[[Código INDRA]:[Nombre]],1,FALSE)),"NO", "SI")</f>
        <v>NO</v>
      </c>
      <c r="T636" s="567"/>
      <c r="V636" s="464" t="e">
        <f>VLOOKUP(Tabla13[[#This Row],[Apoyo]],'LM SAP'!A:I,9,FALSE)</f>
        <v>#N/A</v>
      </c>
      <c r="X636" s="466"/>
      <c r="Y636" s="464">
        <f>Tabla13[[#This Row],[ID]]</f>
        <v>639</v>
      </c>
    </row>
    <row r="637" spans="1:25" s="464" customFormat="1" ht="35.25" customHeight="1" thickBot="1" x14ac:dyDescent="0.3">
      <c r="A637" s="453">
        <v>640</v>
      </c>
      <c r="B637" s="480" t="s">
        <v>3185</v>
      </c>
      <c r="C637" s="605" t="s">
        <v>3186</v>
      </c>
      <c r="D637" s="456"/>
      <c r="E637" s="606"/>
      <c r="F637" s="458">
        <v>2</v>
      </c>
      <c r="G637" s="459"/>
      <c r="H637" s="553" t="s">
        <v>3174</v>
      </c>
      <c r="I637" s="460" t="s">
        <v>251</v>
      </c>
      <c r="J637" s="460"/>
      <c r="K637" s="517" t="s">
        <v>1521</v>
      </c>
      <c r="L637" s="517"/>
      <c r="M637" s="518"/>
      <c r="N637" s="518"/>
      <c r="O637" s="579" t="s">
        <v>3187</v>
      </c>
      <c r="P637" s="520" t="str">
        <f>IF(LEFT(B637,5)="09735",
    IF(ISNA(VLOOKUP(Tabla13[[#This Row],[Apoyo]],'LM SAP'!A:G,1,FALSE)),
        "No Disponible",
        IF(VLOOKUP(Tabla13[[#This Row],[Apoyo]],'LM SAP'!A:AD,9,FALSE)="RR",
            "Disponible",
            "Firmas SAP"
        )
    ),
    "CONSULTAR"
)</f>
        <v>No Disponible</v>
      </c>
      <c r="Q637" s="460" t="str">
        <f>MID(Tabla13[[#This Row],[Código Indra]],1,13)</f>
        <v>0973525900200</v>
      </c>
      <c r="R637" s="464" t="str">
        <f>IF(ISNA(VLOOKUP(Tabla13[[#This Row],[Código Indra]],#REF!,1,FALSE)),"NO", "SI")</f>
        <v>SI</v>
      </c>
      <c r="S637" s="460" t="str">
        <f>IF(ISNA(VLOOKUP(Tabla13[[#This Row],[Código Indra]],Tabla132[[Código INDRA]:[Nombre]],1,FALSE)),"NO", "SI")</f>
        <v>NO</v>
      </c>
      <c r="T637" s="465"/>
      <c r="V637" s="464" t="e">
        <f>VLOOKUP(Tabla13[[#This Row],[Apoyo]],'LM SAP'!A:I,9,FALSE)</f>
        <v>#N/A</v>
      </c>
      <c r="X637" s="466"/>
      <c r="Y637" s="464">
        <f>Tabla13[[#This Row],[ID]]</f>
        <v>640</v>
      </c>
    </row>
    <row r="638" spans="1:25" s="464" customFormat="1" ht="24.75" thickBot="1" x14ac:dyDescent="0.3">
      <c r="A638" s="453">
        <v>641</v>
      </c>
      <c r="B638" s="480" t="s">
        <v>3188</v>
      </c>
      <c r="C638" s="603" t="s">
        <v>3189</v>
      </c>
      <c r="D638" s="459"/>
      <c r="E638" s="457" t="s">
        <v>3190</v>
      </c>
      <c r="F638" s="465">
        <v>2</v>
      </c>
      <c r="G638" s="459"/>
      <c r="H638" s="553" t="s">
        <v>3174</v>
      </c>
      <c r="I638" s="460" t="s">
        <v>251</v>
      </c>
      <c r="J638" s="460"/>
      <c r="K638" s="517" t="s">
        <v>1521</v>
      </c>
      <c r="L638" s="517">
        <v>60007561</v>
      </c>
      <c r="M638" s="521">
        <v>45929</v>
      </c>
      <c r="N638" s="518">
        <v>45943</v>
      </c>
      <c r="O638" s="604" t="s">
        <v>3175</v>
      </c>
      <c r="P638" s="520" t="str">
        <f>IF(LEFT(B638,5)="09735",
    IF(ISNA(VLOOKUP(Tabla13[[#This Row],[Apoyo]],'LM SAP'!A:G,1,FALSE)),
        "No Disponible",
        IF(VLOOKUP(Tabla13[[#This Row],[Apoyo]],'LM SAP'!A:AD,9,FALSE)="RR",
            "Disponible",
            "Firmas SAP"
        )
    ),
    "CONSULTAR"
)</f>
        <v>CONSULTAR</v>
      </c>
      <c r="Q638" s="460" t="str">
        <f>MID(Tabla13[[#This Row],[Código Indra]],1,13)</f>
        <v>0918625900200</v>
      </c>
      <c r="R638" s="464" t="str">
        <f>IF(ISNA(VLOOKUP(Tabla13[[#This Row],[Código Indra]],#REF!,1,FALSE)),"NO", "SI")</f>
        <v>SI</v>
      </c>
      <c r="S638" s="460" t="str">
        <f>IF(ISNA(VLOOKUP(Tabla13[[#This Row],[Código Indra]],Tabla132[[Código INDRA]:[Nombre]],1,FALSE)),"NO", "SI")</f>
        <v>NO</v>
      </c>
      <c r="T638" s="465"/>
      <c r="V638" s="464" t="e">
        <f>VLOOKUP(Tabla13[[#This Row],[Apoyo]],'LM SAP'!A:I,9,FALSE)</f>
        <v>#N/A</v>
      </c>
      <c r="X638" s="466"/>
      <c r="Y638" s="464">
        <f>Tabla13[[#This Row],[ID]]</f>
        <v>641</v>
      </c>
    </row>
    <row r="639" spans="1:25" s="464" customFormat="1" ht="48" x14ac:dyDescent="0.25">
      <c r="A639" s="453">
        <v>642</v>
      </c>
      <c r="B639" s="480" t="s">
        <v>3191</v>
      </c>
      <c r="C639" s="469" t="s">
        <v>1875</v>
      </c>
      <c r="D639" s="456" t="s">
        <v>179</v>
      </c>
      <c r="E639" s="457" t="s">
        <v>3192</v>
      </c>
      <c r="F639" s="458">
        <v>1</v>
      </c>
      <c r="G639" s="459"/>
      <c r="H639" s="460"/>
      <c r="I639" s="460" t="s">
        <v>276</v>
      </c>
      <c r="J639" s="460"/>
      <c r="K639" s="460" t="s">
        <v>220</v>
      </c>
      <c r="L639" s="517">
        <v>60007606</v>
      </c>
      <c r="M639" s="461">
        <v>45943</v>
      </c>
      <c r="N639" s="518">
        <v>45957</v>
      </c>
      <c r="O639" s="470" t="s">
        <v>3193</v>
      </c>
      <c r="P639" s="520" t="str">
        <f>IF(LEFT(B639,5)="09735",
    IF(ISNA(VLOOKUP(Tabla13[[#This Row],[Apoyo]],'LM SAP'!A:G,1,FALSE)),
        "No Disponible",
        IF(VLOOKUP(Tabla13[[#This Row],[Apoyo]],'LM SAP'!A:AD,9,FALSE)="RR",
            "Disponible",
            "Firmas SAP"
        )
    ),
    "CONSULTAR"
)</f>
        <v>Disponible</v>
      </c>
      <c r="Q639" s="460" t="str">
        <f>MID(Tabla13[[#This Row],[Código Indra]],1,13)</f>
        <v>0973545036000</v>
      </c>
      <c r="R639" s="464" t="str">
        <f>IF(ISNA(VLOOKUP(Tabla13[[#This Row],[Código Indra]],#REF!,1,FALSE)),"NO", "SI")</f>
        <v>SI</v>
      </c>
      <c r="S639" s="460" t="str">
        <f>IF(ISNA(VLOOKUP(Tabla13[[#This Row],[Código Indra]],Tabla132[[Código INDRA]:[Nombre]],1,FALSE)),"NO", "SI")</f>
        <v>NO</v>
      </c>
      <c r="T639" s="465"/>
      <c r="V639" s="464" t="str">
        <f>VLOOKUP(Tabla13[[#This Row],[Apoyo]],'LM SAP'!A:I,9,FALSE)</f>
        <v>RR</v>
      </c>
      <c r="X639" s="466"/>
      <c r="Y639" s="464">
        <f>Tabla13[[#This Row],[ID]]</f>
        <v>642</v>
      </c>
    </row>
    <row r="640" spans="1:25" s="464" customFormat="1" ht="48" x14ac:dyDescent="0.25">
      <c r="A640" s="453">
        <v>643</v>
      </c>
      <c r="B640" s="454" t="s">
        <v>3194</v>
      </c>
      <c r="C640" s="469" t="s">
        <v>422</v>
      </c>
      <c r="D640" s="456" t="s">
        <v>26</v>
      </c>
      <c r="E640" s="457" t="s">
        <v>2096</v>
      </c>
      <c r="F640" s="458">
        <v>1</v>
      </c>
      <c r="G640" s="459"/>
      <c r="H640" s="460"/>
      <c r="I640" s="460" t="s">
        <v>276</v>
      </c>
      <c r="J640" s="460"/>
      <c r="K640" s="460" t="s">
        <v>1411</v>
      </c>
      <c r="L640" s="517">
        <v>60007607</v>
      </c>
      <c r="M640" s="461">
        <v>45943</v>
      </c>
      <c r="N640" s="518">
        <v>45940</v>
      </c>
      <c r="O640" s="470" t="s">
        <v>3195</v>
      </c>
      <c r="P640" s="520" t="str">
        <f>IF(LEFT(B640,5)="09735",
    IF(ISNA(VLOOKUP(Tabla13[[#This Row],[Apoyo]],'LM SAP'!A:G,1,FALSE)),
        "No Disponible",
        IF(VLOOKUP(Tabla13[[#This Row],[Apoyo]],'LM SAP'!A:AD,9,FALSE)="RR",
            "Disponible",
            "Firmas SAP"
        )
    ),
    "CONSULTAR"
)</f>
        <v>No Disponible</v>
      </c>
      <c r="Q640" s="460" t="str">
        <f>MID(Tabla13[[#This Row],[Código Indra]],1,13)</f>
        <v>0973525190300</v>
      </c>
      <c r="R640" s="464" t="str">
        <f>IF(ISNA(VLOOKUP(Tabla13[[#This Row],[Código Indra]],#REF!,1,FALSE)),"NO", "SI")</f>
        <v>SI</v>
      </c>
      <c r="S640" s="460" t="str">
        <f>IF(ISNA(VLOOKUP(Tabla13[[#This Row],[Código Indra]],Tabla132[[Código INDRA]:[Nombre]],1,FALSE)),"NO", "SI")</f>
        <v>NO</v>
      </c>
      <c r="T640" s="465"/>
      <c r="V640" s="464" t="e">
        <f>VLOOKUP(Tabla13[[#This Row],[Apoyo]],'LM SAP'!A:I,9,FALSE)</f>
        <v>#N/A</v>
      </c>
      <c r="X640" s="466"/>
      <c r="Y640" s="464">
        <f>Tabla13[[#This Row],[ID]]</f>
        <v>643</v>
      </c>
    </row>
    <row r="641" spans="1:25" s="464" customFormat="1" ht="36" x14ac:dyDescent="0.25">
      <c r="A641" s="577">
        <v>644</v>
      </c>
      <c r="B641" s="561" t="s">
        <v>3196</v>
      </c>
      <c r="C641" s="562" t="s">
        <v>3197</v>
      </c>
      <c r="D641" s="563" t="s">
        <v>3198</v>
      </c>
      <c r="E641" s="572" t="s">
        <v>3199</v>
      </c>
      <c r="F641" s="565">
        <v>1</v>
      </c>
      <c r="G641" s="573"/>
      <c r="H641" s="553"/>
      <c r="I641" s="553" t="s">
        <v>251</v>
      </c>
      <c r="J641" s="553"/>
      <c r="K641" s="517" t="s">
        <v>1411</v>
      </c>
      <c r="L641" s="529">
        <v>60007686</v>
      </c>
      <c r="M641" s="547" t="s">
        <v>3200</v>
      </c>
      <c r="N641" s="547">
        <v>45960</v>
      </c>
      <c r="O641" s="594" t="s">
        <v>3201</v>
      </c>
      <c r="P641" s="574" t="str">
        <f>IF(LEFT(B641,5)="09735",
    IF(ISNA(VLOOKUP(Tabla13[[#This Row],[Apoyo]],'LM SAP'!A:G,1,FALSE)),
        "No Disponible",
        IF(VLOOKUP(Tabla13[[#This Row],[Apoyo]],'LM SAP'!A:AD,9,FALSE)="RR",
            "Disponible",
            "Firmas SAP"
        )
    ),
    "CONSULTAR"
)</f>
        <v>Disponible</v>
      </c>
      <c r="Q641" s="553" t="str">
        <f>MID(Tabla13[[#This Row],[Código Indra]],1,13)</f>
        <v>0973544300700</v>
      </c>
      <c r="R641" s="464" t="str">
        <f>IF(ISNA(VLOOKUP(Tabla13[[#This Row],[Código Indra]],#REF!,1,FALSE)),"NO", "SI")</f>
        <v>SI</v>
      </c>
      <c r="S641" s="553" t="str">
        <f>IF(ISNA(VLOOKUP(Tabla13[[#This Row],[Código Indra]],Tabla132[[Código INDRA]:[Nombre]],1,FALSE)),"NO", "SI")</f>
        <v>NO</v>
      </c>
      <c r="T641" s="567"/>
      <c r="V641" s="464" t="str">
        <f>VLOOKUP(Tabla13[[#This Row],[Apoyo]],'LM SAP'!A:I,9,FALSE)</f>
        <v>RR</v>
      </c>
      <c r="X641" s="466"/>
      <c r="Y641" s="464">
        <f>Tabla13[[#This Row],[ID]]</f>
        <v>644</v>
      </c>
    </row>
    <row r="642" spans="1:25" s="464" customFormat="1" ht="36" x14ac:dyDescent="0.25">
      <c r="A642" s="577">
        <v>645</v>
      </c>
      <c r="B642" s="561" t="s">
        <v>3202</v>
      </c>
      <c r="C642" s="562" t="s">
        <v>3203</v>
      </c>
      <c r="D642" s="563" t="s">
        <v>3198</v>
      </c>
      <c r="E642" s="572" t="s">
        <v>3204</v>
      </c>
      <c r="F642" s="565">
        <v>1</v>
      </c>
      <c r="G642" s="573"/>
      <c r="H642" s="553"/>
      <c r="I642" s="553" t="s">
        <v>251</v>
      </c>
      <c r="J642" s="553"/>
      <c r="K642" s="517" t="s">
        <v>1411</v>
      </c>
      <c r="L642" s="529">
        <v>60007687</v>
      </c>
      <c r="M642" s="547">
        <v>45952</v>
      </c>
      <c r="N642" s="547">
        <v>45960</v>
      </c>
      <c r="O642" s="594" t="s">
        <v>3201</v>
      </c>
      <c r="P642" s="574" t="str">
        <f>IF(LEFT(B642,5)="09735",
    IF(ISNA(VLOOKUP(Tabla13[[#This Row],[Apoyo]],'LM SAP'!A:G,1,FALSE)),
        "No Disponible",
        IF(VLOOKUP(Tabla13[[#This Row],[Apoyo]],'LM SAP'!A:AD,9,FALSE)="RR",
            "Disponible",
            "Firmas SAP"
        )
    ),
    "CONSULTAR"
)</f>
        <v>Disponible</v>
      </c>
      <c r="Q642" s="553" t="str">
        <f>MID(Tabla13[[#This Row],[Código Indra]],1,13)</f>
        <v>0973544300800</v>
      </c>
      <c r="R642" s="464" t="str">
        <f>IF(ISNA(VLOOKUP(Tabla13[[#This Row],[Código Indra]],#REF!,1,FALSE)),"NO", "SI")</f>
        <v>SI</v>
      </c>
      <c r="S642" s="553" t="str">
        <f>IF(ISNA(VLOOKUP(Tabla13[[#This Row],[Código Indra]],Tabla132[[Código INDRA]:[Nombre]],1,FALSE)),"NO", "SI")</f>
        <v>NO</v>
      </c>
      <c r="T642" s="567"/>
      <c r="V642" s="464" t="str">
        <f>VLOOKUP(Tabla13[[#This Row],[Apoyo]],'LM SAP'!A:I,9,FALSE)</f>
        <v>RR</v>
      </c>
      <c r="X642" s="466"/>
      <c r="Y642" s="464">
        <f>Tabla13[[#This Row],[ID]]</f>
        <v>645</v>
      </c>
    </row>
    <row r="643" spans="1:25" s="464" customFormat="1" ht="37.5" customHeight="1" x14ac:dyDescent="0.25">
      <c r="A643" s="577">
        <v>645</v>
      </c>
      <c r="B643" s="480" t="s">
        <v>3205</v>
      </c>
      <c r="C643" s="469" t="s">
        <v>525</v>
      </c>
      <c r="D643" s="456" t="s">
        <v>3206</v>
      </c>
      <c r="E643" s="480" t="s">
        <v>3207</v>
      </c>
      <c r="F643" s="458">
        <v>1</v>
      </c>
      <c r="G643" s="459"/>
      <c r="H643" s="460"/>
      <c r="I643" s="460" t="s">
        <v>3208</v>
      </c>
      <c r="J643" s="460"/>
      <c r="K643" s="517" t="s">
        <v>1411</v>
      </c>
      <c r="L643" s="517">
        <v>60008141</v>
      </c>
      <c r="M643" s="547">
        <v>46050</v>
      </c>
      <c r="N643" s="547">
        <v>46050</v>
      </c>
      <c r="O643" s="519" t="s">
        <v>3209</v>
      </c>
      <c r="P643" s="520" t="str">
        <f>IF(LEFT(B643,5)="09735",
    IF(ISNA(VLOOKUP(Tabla13[[#This Row],[Apoyo]],'LM SAP'!A:G,1,FALSE)),
        "No Disponible",
        IF(VLOOKUP(Tabla13[[#This Row],[Apoyo]],'LM SAP'!A:AD,9,FALSE)="RR",
            "Disponible",
            "Firmas SAP"
        )
    ),
    "CONSULTAR"
)</f>
        <v>No Disponible</v>
      </c>
      <c r="Q643" s="460" t="str">
        <f>MID(Tabla13[[#This Row],[Código Indra]],1,13)</f>
        <v>0973545002600</v>
      </c>
      <c r="R643" s="464" t="str">
        <f>IF(ISNA(VLOOKUP(Tabla13[[#This Row],[Código Indra]],#REF!,1,FALSE)),"NO", "SI")</f>
        <v>SI</v>
      </c>
      <c r="S643" s="460" t="str">
        <f>IF(ISNA(VLOOKUP(Tabla13[[#This Row],[Código Indra]],Tabla132[[Código INDRA]:[Nombre]],1,FALSE)),"NO", "SI")</f>
        <v>NO</v>
      </c>
      <c r="T643" s="465"/>
      <c r="V643" s="464" t="e">
        <f>VLOOKUP(Tabla13[[#This Row],[Apoyo]],'LM SAP'!A:I,9,FALSE)</f>
        <v>#N/A</v>
      </c>
      <c r="X643" s="466"/>
      <c r="Y643" s="464">
        <f>Tabla13[[#This Row],[ID]]</f>
        <v>645</v>
      </c>
    </row>
    <row r="644" spans="1:25" s="464" customFormat="1" ht="46.5" customHeight="1" x14ac:dyDescent="0.25">
      <c r="A644" s="577">
        <v>646</v>
      </c>
      <c r="B644" s="561" t="s">
        <v>3210</v>
      </c>
      <c r="C644" s="562" t="s">
        <v>3211</v>
      </c>
      <c r="D644" s="563"/>
      <c r="E644" s="572" t="s">
        <v>3212</v>
      </c>
      <c r="F644" s="565">
        <v>1</v>
      </c>
      <c r="G644" s="573"/>
      <c r="H644" s="553"/>
      <c r="I644" s="460" t="s">
        <v>3208</v>
      </c>
      <c r="J644" s="553"/>
      <c r="K644" s="517" t="s">
        <v>1521</v>
      </c>
      <c r="L644" s="517"/>
      <c r="M644" s="547"/>
      <c r="N644" s="547"/>
      <c r="O644" s="594" t="s">
        <v>3213</v>
      </c>
      <c r="P644" s="574" t="str">
        <f>IF(LEFT(B644,5)="09735",
    IF(ISNA(VLOOKUP(Tabla13[[#This Row],[Apoyo]],'LM SAP'!A:G,1,FALSE)),
        "No Disponible",
        IF(VLOOKUP(Tabla13[[#This Row],[Apoyo]],'LM SAP'!A:AD,9,FALSE)="RR",
            "Disponible",
            "Firmas SAP"
        )
    ),
    "CONSULTAR"
)</f>
        <v>No Disponible</v>
      </c>
      <c r="Q644" s="553" t="str">
        <f>MID(Tabla13[[#This Row],[Código Indra]],1,13)</f>
        <v>0973525071300</v>
      </c>
      <c r="R644" s="464" t="str">
        <f>IF(ISNA(VLOOKUP(Tabla13[[#This Row],[Código Indra]],#REF!,1,FALSE)),"NO", "SI")</f>
        <v>SI</v>
      </c>
      <c r="S644" s="553" t="str">
        <f>IF(ISNA(VLOOKUP(Tabla13[[#This Row],[Código Indra]],Tabla132[[Código INDRA]:[Nombre]],1,FALSE)),"NO", "SI")</f>
        <v>NO</v>
      </c>
      <c r="T644" s="567"/>
      <c r="V644" s="464" t="e">
        <f>VLOOKUP(Tabla13[[#This Row],[Apoyo]],'LM SAP'!A:I,9,FALSE)</f>
        <v>#N/A</v>
      </c>
      <c r="X644" s="466"/>
      <c r="Y644" s="464">
        <f>Tabla13[[#This Row],[ID]]</f>
        <v>646</v>
      </c>
    </row>
    <row r="645" spans="1:25" s="464" customFormat="1" ht="41.25" customHeight="1" x14ac:dyDescent="0.25">
      <c r="A645" s="577">
        <v>647</v>
      </c>
      <c r="B645" s="561" t="s">
        <v>3214</v>
      </c>
      <c r="C645" s="562" t="s">
        <v>3215</v>
      </c>
      <c r="D645" s="563"/>
      <c r="E645" s="564" t="s">
        <v>3216</v>
      </c>
      <c r="F645" s="565">
        <v>1</v>
      </c>
      <c r="G645" s="573"/>
      <c r="H645" s="553"/>
      <c r="I645" s="460" t="s">
        <v>3208</v>
      </c>
      <c r="J645" s="553"/>
      <c r="K645" s="517" t="s">
        <v>1521</v>
      </c>
      <c r="L645" s="529"/>
      <c r="M645" s="547"/>
      <c r="N645" s="547"/>
      <c r="O645" s="594" t="s">
        <v>3217</v>
      </c>
      <c r="P645" s="574" t="str">
        <f>IF(LEFT(B645,5)="09735",
    IF(ISNA(VLOOKUP(Tabla13[[#This Row],[Apoyo]],'LM SAP'!A:G,1,FALSE)),
        "No Disponible",
        IF(VLOOKUP(Tabla13[[#This Row],[Apoyo]],'LM SAP'!A:AD,9,FALSE)="RR",
            "Disponible",
            "Firmas SAP"
        )
    ),
    "CONSULTAR"
)</f>
        <v>No Disponible</v>
      </c>
      <c r="Q645" s="553" t="str">
        <f>MID(Tabla13[[#This Row],[Código Indra]],1,13)</f>
        <v>0973525070100</v>
      </c>
      <c r="R645" s="464" t="str">
        <f>IF(ISNA(VLOOKUP(Tabla13[[#This Row],[Código Indra]],#REF!,1,FALSE)),"NO", "SI")</f>
        <v>SI</v>
      </c>
      <c r="S645" s="553" t="str">
        <f>IF(ISNA(VLOOKUP(Tabla13[[#This Row],[Código Indra]],Tabla132[[Código INDRA]:[Nombre]],1,FALSE)),"NO", "SI")</f>
        <v>NO</v>
      </c>
      <c r="T645" s="567"/>
      <c r="V645" s="464" t="e">
        <f>VLOOKUP(Tabla13[[#This Row],[Apoyo]],'LM SAP'!A:I,9,FALSE)</f>
        <v>#N/A</v>
      </c>
      <c r="X645" s="466"/>
      <c r="Y645" s="464">
        <f>Tabla13[[#This Row],[ID]]</f>
        <v>647</v>
      </c>
    </row>
    <row r="646" spans="1:25" s="464" customFormat="1" ht="24" x14ac:dyDescent="0.25">
      <c r="A646" s="577">
        <v>648</v>
      </c>
      <c r="B646" s="561" t="s">
        <v>3218</v>
      </c>
      <c r="C646" s="562" t="s">
        <v>544</v>
      </c>
      <c r="D646" s="563" t="s">
        <v>3219</v>
      </c>
      <c r="E646" s="572" t="s">
        <v>3220</v>
      </c>
      <c r="F646" s="565">
        <v>1</v>
      </c>
      <c r="G646" s="573"/>
      <c r="H646" s="553"/>
      <c r="I646" s="553" t="s">
        <v>3221</v>
      </c>
      <c r="J646" s="553"/>
      <c r="K646" s="517" t="s">
        <v>1411</v>
      </c>
      <c r="L646" s="553">
        <v>60008142</v>
      </c>
      <c r="M646" s="547">
        <v>46050</v>
      </c>
      <c r="N646" s="547">
        <v>46050</v>
      </c>
      <c r="O646" s="579" t="s">
        <v>3222</v>
      </c>
      <c r="P646" s="568" t="str">
        <f>IF(LEFT(B646,5)="09735",
    IF(ISNA(VLOOKUP(Tabla13[[#This Row],[Apoyo]],'LM SAP'!A:G,1,FALSE)),
        "No Disponible",
        IF(VLOOKUP(Tabla13[[#This Row],[Apoyo]],'LM SAP'!A:AD,9,FALSE)="RR",
            "Disponible",
            "Firmas SAP"
        )
    ),
    "CONSULTAR"
)</f>
        <v>No Disponible</v>
      </c>
      <c r="Q646" s="553" t="str">
        <f>MID(Tabla13[[#This Row],[Código Indra]],1,13)</f>
        <v>0973545003900</v>
      </c>
      <c r="R646" s="464" t="str">
        <f>IF(ISNA(VLOOKUP(Tabla13[[#This Row],[Código Indra]],#REF!,1,FALSE)),"NO", "SI")</f>
        <v>SI</v>
      </c>
      <c r="S646" s="553" t="str">
        <f>IF(ISNA(VLOOKUP(Tabla13[[#This Row],[Código Indra]],Tabla132[[Código INDRA]:[Nombre]],1,FALSE)),"NO", "SI")</f>
        <v>NO</v>
      </c>
      <c r="T646" s="567"/>
      <c r="V646" s="464" t="e">
        <f>VLOOKUP(Tabla13[[#This Row],[Apoyo]],'LM SAP'!A:I,9,FALSE)</f>
        <v>#N/A</v>
      </c>
      <c r="X646" s="466"/>
      <c r="Y646" s="464">
        <f>Tabla13[[#This Row],[ID]]</f>
        <v>648</v>
      </c>
    </row>
    <row r="647" spans="1:25" s="464" customFormat="1" ht="24" x14ac:dyDescent="0.25">
      <c r="A647" s="577">
        <v>649</v>
      </c>
      <c r="B647" s="454" t="s">
        <v>3223</v>
      </c>
      <c r="C647" s="558" t="s">
        <v>2658</v>
      </c>
      <c r="D647" s="456" t="s">
        <v>179</v>
      </c>
      <c r="E647" s="457" t="s">
        <v>913</v>
      </c>
      <c r="F647" s="458">
        <v>1</v>
      </c>
      <c r="G647" s="459"/>
      <c r="H647" s="460"/>
      <c r="I647" s="460" t="s">
        <v>276</v>
      </c>
      <c r="J647" s="460"/>
      <c r="K647" s="517" t="s">
        <v>1521</v>
      </c>
      <c r="L647" s="460">
        <v>60007789</v>
      </c>
      <c r="M647" s="461">
        <v>45971</v>
      </c>
      <c r="N647" s="461"/>
      <c r="O647" s="470" t="s">
        <v>3224</v>
      </c>
      <c r="P647" s="568" t="str">
        <f>IF(LEFT(B647,5)="09735",
    IF(ISNA(VLOOKUP(Tabla13[[#This Row],[Apoyo]],'LM SAP'!A:G,1,FALSE)),
        "No Disponible",
        IF(VLOOKUP(Tabla13[[#This Row],[Apoyo]],'LM SAP'!A:AD,9,FALSE)="RR",
            "Disponible",
            "Firmas SAP"
        )
    ),
    "CONSULTAR"
)</f>
        <v>No Disponible</v>
      </c>
      <c r="Q647" s="460" t="str">
        <f>MID(Tabla13[[#This Row],[Código Indra]],1,13)</f>
        <v>0973545036200</v>
      </c>
      <c r="R647" s="464" t="str">
        <f>IF(ISNA(VLOOKUP(Tabla13[[#This Row],[Código Indra]],#REF!,1,FALSE)),"NO", "SI")</f>
        <v>SI</v>
      </c>
      <c r="S647" s="460" t="str">
        <f>IF(ISNA(VLOOKUP(Tabla13[[#This Row],[Código Indra]],Tabla132[[Código INDRA]:[Nombre]],1,FALSE)),"NO", "SI")</f>
        <v>NO</v>
      </c>
      <c r="T647" s="465"/>
      <c r="V647" s="464" t="e">
        <f>VLOOKUP(Tabla13[[#This Row],[Apoyo]],'LM SAP'!A:I,9,FALSE)</f>
        <v>#N/A</v>
      </c>
      <c r="X647" s="466"/>
      <c r="Y647" s="464">
        <f>Tabla13[[#This Row],[ID]]</f>
        <v>649</v>
      </c>
    </row>
    <row r="648" spans="1:25" s="464" customFormat="1" ht="36" x14ac:dyDescent="0.25">
      <c r="A648" s="577">
        <v>650</v>
      </c>
      <c r="B648" s="561" t="s">
        <v>3194</v>
      </c>
      <c r="C648" s="562" t="s">
        <v>3225</v>
      </c>
      <c r="D648" s="563"/>
      <c r="E648" s="572" t="s">
        <v>3226</v>
      </c>
      <c r="F648" s="565">
        <v>1</v>
      </c>
      <c r="G648" s="573"/>
      <c r="H648" s="553"/>
      <c r="I648" s="553" t="s">
        <v>3227</v>
      </c>
      <c r="J648" s="553"/>
      <c r="K648" s="517" t="s">
        <v>219</v>
      </c>
      <c r="L648" s="529">
        <v>60008084</v>
      </c>
      <c r="M648" s="461">
        <v>46041</v>
      </c>
      <c r="N648" s="547">
        <v>45683</v>
      </c>
      <c r="O648" s="594" t="s">
        <v>3228</v>
      </c>
      <c r="P648" s="574" t="str">
        <f>IF(LEFT(B648,5)="09735",
    IF(ISNA(VLOOKUP(Tabla13[[#This Row],[Apoyo]],'LM SAP'!A:G,1,FALSE)),
        "No Disponible",
        IF(VLOOKUP(Tabla13[[#This Row],[Apoyo]],'LM SAP'!A:AD,9,FALSE)="RR",
            "Disponible",
            "Firmas SAP"
        )
    ),
    "CONSULTAR"
)</f>
        <v>No Disponible</v>
      </c>
      <c r="Q648" s="553" t="str">
        <f>MID(Tabla13[[#This Row],[Código Indra]],1,13)</f>
        <v>0973525190300</v>
      </c>
      <c r="R648" s="464" t="str">
        <f>IF(ISNA(VLOOKUP(Tabla13[[#This Row],[Código Indra]],#REF!,1,FALSE)),"NO", "SI")</f>
        <v>SI</v>
      </c>
      <c r="S648" s="553" t="str">
        <f>IF(ISNA(VLOOKUP(Tabla13[[#This Row],[Código Indra]],Tabla132[[Código INDRA]:[Nombre]],1,FALSE)),"NO", "SI")</f>
        <v>NO</v>
      </c>
      <c r="T648" s="567"/>
      <c r="V648" s="464" t="e">
        <f>VLOOKUP(Tabla13[[#This Row],[Apoyo]],'LM SAP'!A:I,9,FALSE)</f>
        <v>#N/A</v>
      </c>
      <c r="X648" s="466"/>
      <c r="Y648" s="464">
        <f>Tabla13[[#This Row],[ID]]</f>
        <v>650</v>
      </c>
    </row>
    <row r="649" spans="1:25" s="464" customFormat="1" ht="48" x14ac:dyDescent="0.25">
      <c r="A649" s="577">
        <v>651</v>
      </c>
      <c r="B649" s="578" t="s">
        <v>3229</v>
      </c>
      <c r="C649" s="562" t="s">
        <v>1801</v>
      </c>
      <c r="D649" s="563" t="s">
        <v>575</v>
      </c>
      <c r="E649" s="564" t="s">
        <v>3230</v>
      </c>
      <c r="F649" s="565">
        <v>1</v>
      </c>
      <c r="G649" s="573"/>
      <c r="H649" s="553"/>
      <c r="I649" s="553" t="s">
        <v>276</v>
      </c>
      <c r="J649" s="553"/>
      <c r="K649" s="517" t="s">
        <v>1411</v>
      </c>
      <c r="L649" s="553">
        <v>60007933</v>
      </c>
      <c r="M649" s="521">
        <v>46009</v>
      </c>
      <c r="N649" s="521">
        <v>46030</v>
      </c>
      <c r="O649" s="594" t="s">
        <v>3231</v>
      </c>
      <c r="P649" s="568" t="str">
        <f>IF(LEFT(B649,5)="09735",
    IF(ISNA(VLOOKUP(Tabla13[[#This Row],[Apoyo]],'LM SAP'!A:G,1,FALSE)),
        "No Disponible",
        IF(VLOOKUP(Tabla13[[#This Row],[Apoyo]],'LM SAP'!A:AD,9,FALSE)="RR",
            "Disponible",
            "Firmas SAP"
        )
    ),
    "CONSULTAR"
)</f>
        <v>No Disponible</v>
      </c>
      <c r="Q649" s="553" t="str">
        <f>MID(Tabla13[[#This Row],[Código Indra]],1,13)</f>
        <v>0973545009200</v>
      </c>
      <c r="R649" s="464" t="str">
        <f>IF(ISNA(VLOOKUP(Tabla13[[#This Row],[Código Indra]],#REF!,1,FALSE)),"NO", "SI")</f>
        <v>SI</v>
      </c>
      <c r="S649" s="553" t="str">
        <f>IF(ISNA(VLOOKUP(Tabla13[[#This Row],[Código Indra]],Tabla132[[Código INDRA]:[Nombre]],1,FALSE)),"NO", "SI")</f>
        <v>NO</v>
      </c>
      <c r="T649" s="567"/>
      <c r="V649" s="464" t="e">
        <f>VLOOKUP(Tabla13[[#This Row],[Apoyo]],'LM SAP'!A:I,9,FALSE)</f>
        <v>#N/A</v>
      </c>
      <c r="X649" s="466"/>
      <c r="Y649" s="464">
        <f>Tabla13[[#This Row],[ID]]</f>
        <v>651</v>
      </c>
    </row>
    <row r="650" spans="1:25" s="464" customFormat="1" ht="48" x14ac:dyDescent="0.25">
      <c r="A650" s="453">
        <v>652</v>
      </c>
      <c r="B650" s="454" t="s">
        <v>3232</v>
      </c>
      <c r="C650" s="469" t="s">
        <v>2945</v>
      </c>
      <c r="D650" s="481" t="s">
        <v>1091</v>
      </c>
      <c r="E650" s="457" t="s">
        <v>3233</v>
      </c>
      <c r="F650" s="458">
        <v>1</v>
      </c>
      <c r="G650" s="459"/>
      <c r="H650" s="460"/>
      <c r="I650" s="460" t="s">
        <v>276</v>
      </c>
      <c r="J650" s="460"/>
      <c r="K650" s="517" t="s">
        <v>1411</v>
      </c>
      <c r="L650" s="460">
        <v>60007772</v>
      </c>
      <c r="M650" s="461">
        <v>45978</v>
      </c>
      <c r="N650" s="461">
        <v>45985</v>
      </c>
      <c r="O650" s="470" t="s">
        <v>3234</v>
      </c>
      <c r="P650" s="568" t="str">
        <f>IF(LEFT(B650,5)="09735",
    IF(ISNA(VLOOKUP(Tabla13[[#This Row],[Apoyo]],'LM SAP'!A:G,1,FALSE)),
        "No Disponible",
        IF(VLOOKUP(Tabla13[[#This Row],[Apoyo]],'LM SAP'!A:AD,9,FALSE)="RR",
            "Disponible",
            "Firmas SAP"
        )
    ),
    "CONSULTAR"
)</f>
        <v>No Disponible</v>
      </c>
      <c r="Q650" s="460" t="str">
        <f>MID(Tabla13[[#This Row],[Código Indra]],1,13)</f>
        <v>0973545020209</v>
      </c>
      <c r="R650" s="464" t="str">
        <f>IF(ISNA(VLOOKUP(Tabla13[[#This Row],[Código Indra]],#REF!,1,FALSE)),"NO", "SI")</f>
        <v>SI</v>
      </c>
      <c r="S650" s="460" t="str">
        <f>IF(ISNA(VLOOKUP(Tabla13[[#This Row],[Código Indra]],Tabla132[[Código INDRA]:[Nombre]],1,FALSE)),"NO", "SI")</f>
        <v>NO</v>
      </c>
      <c r="T650" s="465"/>
      <c r="V650" s="464" t="e">
        <f>VLOOKUP(Tabla13[[#This Row],[Apoyo]],'LM SAP'!A:I,9,FALSE)</f>
        <v>#N/A</v>
      </c>
      <c r="X650" s="466"/>
      <c r="Y650" s="464">
        <f>Tabla13[[#This Row],[ID]]</f>
        <v>652</v>
      </c>
    </row>
    <row r="651" spans="1:25" s="464" customFormat="1" ht="24" x14ac:dyDescent="0.25">
      <c r="A651" s="577">
        <v>653</v>
      </c>
      <c r="B651" s="561" t="s">
        <v>1078</v>
      </c>
      <c r="C651" s="562" t="s">
        <v>3235</v>
      </c>
      <c r="D651" s="563" t="s">
        <v>248</v>
      </c>
      <c r="E651" s="572" t="s">
        <v>3236</v>
      </c>
      <c r="F651" s="565">
        <v>1</v>
      </c>
      <c r="G651" s="573"/>
      <c r="H651" s="553"/>
      <c r="I651" s="553" t="s">
        <v>251</v>
      </c>
      <c r="J651" s="553"/>
      <c r="K651" s="517" t="s">
        <v>1411</v>
      </c>
      <c r="L651" s="553">
        <v>60008143</v>
      </c>
      <c r="M651" s="547">
        <v>46050</v>
      </c>
      <c r="N651" s="547">
        <v>46050</v>
      </c>
      <c r="O651" s="594" t="s">
        <v>3237</v>
      </c>
      <c r="P651" s="574" t="str">
        <f>IF(LEFT(B651,5)="09735",
    IF(ISNA(VLOOKUP(Tabla13[[#This Row],[Apoyo]],'LM SAP'!A:G,1,FALSE)),
        "No Disponible",
        IF(VLOOKUP(Tabla13[[#This Row],[Apoyo]],'LM SAP'!A:AD,9,FALSE)="RR",
            "Disponible",
            "Firmas SAP"
        )
    ),
    "CONSULTAR"
)</f>
        <v>No Disponible</v>
      </c>
      <c r="Q651" s="553" t="str">
        <f>MID(Tabla13[[#This Row],[Código Indra]],1,13)</f>
        <v>0973544330176</v>
      </c>
      <c r="R651" s="464" t="str">
        <f>IF(ISNA(VLOOKUP(Tabla13[[#This Row],[Código Indra]],#REF!,1,FALSE)),"NO", "SI")</f>
        <v>SI</v>
      </c>
      <c r="S651" s="553" t="str">
        <f>IF(ISNA(VLOOKUP(Tabla13[[#This Row],[Código Indra]],Tabla132[[Código INDRA]:[Nombre]],1,FALSE)),"NO", "SI")</f>
        <v>NO</v>
      </c>
      <c r="T651" s="567"/>
      <c r="V651" s="464" t="e">
        <f>VLOOKUP(Tabla13[[#This Row],[Apoyo]],'LM SAP'!A:I,9,FALSE)</f>
        <v>#N/A</v>
      </c>
      <c r="X651" s="466"/>
      <c r="Y651" s="464">
        <f>Tabla13[[#This Row],[ID]]</f>
        <v>653</v>
      </c>
    </row>
    <row r="652" spans="1:25" s="464" customFormat="1" ht="24" x14ac:dyDescent="0.25">
      <c r="A652" s="453">
        <v>654</v>
      </c>
      <c r="B652" s="607" t="s">
        <v>3068</v>
      </c>
      <c r="C652" s="608" t="s">
        <v>248</v>
      </c>
      <c r="D652" s="456" t="s">
        <v>1860</v>
      </c>
      <c r="E652" s="526" t="s">
        <v>3238</v>
      </c>
      <c r="F652" s="458">
        <v>1</v>
      </c>
      <c r="G652" s="459"/>
      <c r="H652" s="460"/>
      <c r="I652" s="553" t="s">
        <v>251</v>
      </c>
      <c r="J652" s="460"/>
      <c r="K652" s="517" t="s">
        <v>1411</v>
      </c>
      <c r="L652" s="517">
        <v>60008144</v>
      </c>
      <c r="M652" s="518">
        <v>46050</v>
      </c>
      <c r="N652" s="547">
        <v>46050</v>
      </c>
      <c r="O652" s="519" t="s">
        <v>3239</v>
      </c>
      <c r="P652" s="520" t="str">
        <f>IF(LEFT(B652,5)="09735",
    IF(ISNA(VLOOKUP(Tabla13[[#This Row],[Apoyo]],'LM SAP'!A:G,1,FALSE)),
        "No Disponible",
        IF(VLOOKUP(Tabla13[[#This Row],[Apoyo]],'LM SAP'!A:AD,9,FALSE)="RR",
            "Disponible",
            "Firmas SAP"
        )
    ),
    "CONSULTAR"
)</f>
        <v>No Disponible</v>
      </c>
      <c r="Q652" s="460" t="str">
        <f>MID(Tabla13[[#This Row],[Código Indra]],1,13)</f>
        <v>0973524330100</v>
      </c>
      <c r="R652" s="464" t="str">
        <f>IF(ISNA(VLOOKUP(Tabla13[[#This Row],[Código Indra]],#REF!,1,FALSE)),"NO", "SI")</f>
        <v>SI</v>
      </c>
      <c r="S652" s="460" t="str">
        <f>IF(ISNA(VLOOKUP(Tabla13[[#This Row],[Código Indra]],Tabla132[[Código INDRA]:[Nombre]],1,FALSE)),"NO", "SI")</f>
        <v>NO</v>
      </c>
      <c r="T652" s="465"/>
      <c r="V652" s="464" t="e">
        <f>VLOOKUP(Tabla13[[#This Row],[Apoyo]],'LM SAP'!A:I,9,FALSE)</f>
        <v>#N/A</v>
      </c>
      <c r="X652" s="466"/>
      <c r="Y652" s="464">
        <f>Tabla13[[#This Row],[ID]]</f>
        <v>654</v>
      </c>
    </row>
    <row r="653" spans="1:25" s="464" customFormat="1" ht="41.25" customHeight="1" x14ac:dyDescent="0.25">
      <c r="A653" s="453">
        <v>656</v>
      </c>
      <c r="B653" s="607" t="s">
        <v>3072</v>
      </c>
      <c r="C653" s="608" t="s">
        <v>164</v>
      </c>
      <c r="D653" s="456" t="s">
        <v>61</v>
      </c>
      <c r="E653" s="526" t="s">
        <v>3240</v>
      </c>
      <c r="F653" s="458">
        <v>1</v>
      </c>
      <c r="G653" s="459"/>
      <c r="H653" s="460"/>
      <c r="I653" s="553" t="s">
        <v>251</v>
      </c>
      <c r="J653" s="460"/>
      <c r="K653" s="517" t="s">
        <v>1411</v>
      </c>
      <c r="L653" s="517">
        <v>60008145</v>
      </c>
      <c r="M653" s="518">
        <v>46050</v>
      </c>
      <c r="N653" s="547">
        <v>46050</v>
      </c>
      <c r="O653" s="519" t="s">
        <v>3239</v>
      </c>
      <c r="P653" s="520" t="str">
        <f>IF(LEFT(B653,5)="09735",
    IF(ISNA(VLOOKUP(Tabla13[[#This Row],[Apoyo]],'LM SAP'!A:G,1,FALSE)),
        "No Disponible",
        IF(VLOOKUP(Tabla13[[#This Row],[Apoyo]],'LM SAP'!A:AD,9,FALSE)="RR",
            "Disponible",
            "Firmas SAP"
        )
    ),
    "CONSULTAR"
)</f>
        <v>No Disponible</v>
      </c>
      <c r="Q653" s="460" t="str">
        <f>MID(Tabla13[[#This Row],[Código Indra]],1,13)</f>
        <v>0973524200600</v>
      </c>
      <c r="R653" s="464" t="str">
        <f>IF(ISNA(VLOOKUP(Tabla13[[#This Row],[Código Indra]],#REF!,1,FALSE)),"NO", "SI")</f>
        <v>SI</v>
      </c>
      <c r="S653" s="460" t="str">
        <f>IF(ISNA(VLOOKUP(Tabla13[[#This Row],[Código Indra]],Tabla132[[Código INDRA]:[Nombre]],1,FALSE)),"NO", "SI")</f>
        <v>NO</v>
      </c>
      <c r="T653" s="465"/>
      <c r="V653" s="464" t="e">
        <f>VLOOKUP(Tabla13[[#This Row],[Apoyo]],'LM SAP'!A:I,9,FALSE)</f>
        <v>#N/A</v>
      </c>
      <c r="X653" s="466"/>
      <c r="Y653" s="464">
        <f>Tabla13[[#This Row],[ID]]</f>
        <v>656</v>
      </c>
    </row>
    <row r="654" spans="1:25" s="464" customFormat="1" ht="48" x14ac:dyDescent="0.25">
      <c r="A654" s="577">
        <v>657</v>
      </c>
      <c r="B654" s="609" t="s">
        <v>1448</v>
      </c>
      <c r="C654" s="610" t="s">
        <v>167</v>
      </c>
      <c r="D654" s="563"/>
      <c r="E654" s="572" t="s">
        <v>3241</v>
      </c>
      <c r="F654" s="565">
        <v>1</v>
      </c>
      <c r="G654" s="573"/>
      <c r="H654" s="553"/>
      <c r="I654" s="553" t="s">
        <v>251</v>
      </c>
      <c r="J654" s="553"/>
      <c r="K654" s="517" t="s">
        <v>1411</v>
      </c>
      <c r="L654" s="553">
        <v>60008085</v>
      </c>
      <c r="M654" s="461">
        <v>46041</v>
      </c>
      <c r="N654" s="547">
        <v>45680</v>
      </c>
      <c r="O654" s="611" t="s">
        <v>3242</v>
      </c>
      <c r="P654" s="574" t="str">
        <f>IF(LEFT(B654,5)="09735",
    IF(ISNA(VLOOKUP(Tabla13[[#This Row],[Apoyo]],'LM SAP'!A:G,1,FALSE)),
        "No Disponible",
        IF(VLOOKUP(Tabla13[[#This Row],[Apoyo]],'LM SAP'!A:AD,9,FALSE)="RR",
            "Disponible",
            "Firmas SAP"
        )
    ),
    "CONSULTAR"
)</f>
        <v>No Disponible</v>
      </c>
      <c r="Q654" s="553" t="str">
        <f>MID(Tabla13[[#This Row],[Código Indra]],1,13)</f>
        <v>0973524000100</v>
      </c>
      <c r="R654" s="464" t="str">
        <f>IF(ISNA(VLOOKUP(Tabla13[[#This Row],[Código Indra]],#REF!,1,FALSE)),"NO", "SI")</f>
        <v>SI</v>
      </c>
      <c r="S654" s="553" t="str">
        <f>IF(ISNA(VLOOKUP(Tabla13[[#This Row],[Código Indra]],Tabla132[[Código INDRA]:[Nombre]],1,FALSE)),"NO", "SI")</f>
        <v>NO</v>
      </c>
      <c r="T654" s="567"/>
      <c r="V654" s="464" t="e">
        <f>VLOOKUP(Tabla13[[#This Row],[Apoyo]],'LM SAP'!A:I,9,FALSE)</f>
        <v>#N/A</v>
      </c>
      <c r="X654" s="466"/>
      <c r="Y654" s="464">
        <f>Tabla13[[#This Row],[ID]]</f>
        <v>657</v>
      </c>
    </row>
    <row r="655" spans="1:25" s="464" customFormat="1" ht="48" x14ac:dyDescent="0.25">
      <c r="A655" s="577">
        <v>658</v>
      </c>
      <c r="B655" s="561" t="s">
        <v>3243</v>
      </c>
      <c r="C655" s="562" t="s">
        <v>3244</v>
      </c>
      <c r="D655" s="563"/>
      <c r="E655" s="572" t="s">
        <v>3245</v>
      </c>
      <c r="F655" s="565">
        <v>1</v>
      </c>
      <c r="G655" s="573"/>
      <c r="H655" s="553"/>
      <c r="I655" s="553" t="s">
        <v>251</v>
      </c>
      <c r="J655" s="553"/>
      <c r="K655" s="517" t="s">
        <v>1411</v>
      </c>
      <c r="L655" s="553">
        <v>60008086</v>
      </c>
      <c r="M655" s="461">
        <v>46041</v>
      </c>
      <c r="N655" s="547">
        <v>45680</v>
      </c>
      <c r="O655" s="611" t="s">
        <v>3242</v>
      </c>
      <c r="P655" s="574" t="str">
        <f>IF(LEFT(B655,5)="09735",
    IF(ISNA(VLOOKUP(Tabla13[[#This Row],[Apoyo]],'LM SAP'!A:G,1,FALSE)),
        "No Disponible",
        IF(VLOOKUP(Tabla13[[#This Row],[Apoyo]],'LM SAP'!A:AD,9,FALSE)="RR",
            "Disponible",
            "Firmas SAP"
        )
    ),
    "CONSULTAR"
)</f>
        <v>No Disponible</v>
      </c>
      <c r="Q655" s="553" t="str">
        <f>MID(Tabla13[[#This Row],[Código Indra]],1,13)</f>
        <v>0973524070200</v>
      </c>
      <c r="R655" s="464" t="str">
        <f>IF(ISNA(VLOOKUP(Tabla13[[#This Row],[Código Indra]],#REF!,1,FALSE)),"NO", "SI")</f>
        <v>SI</v>
      </c>
      <c r="S655" s="553" t="str">
        <f>IF(ISNA(VLOOKUP(Tabla13[[#This Row],[Código Indra]],Tabla132[[Código INDRA]:[Nombre]],1,FALSE)),"NO", "SI")</f>
        <v>NO</v>
      </c>
      <c r="T655" s="567"/>
      <c r="V655" s="464" t="e">
        <f>VLOOKUP(Tabla13[[#This Row],[Apoyo]],'LM SAP'!A:I,9,FALSE)</f>
        <v>#N/A</v>
      </c>
      <c r="X655" s="466"/>
      <c r="Y655" s="464">
        <f>Tabla13[[#This Row],[ID]]</f>
        <v>658</v>
      </c>
    </row>
    <row r="656" spans="1:25" s="464" customFormat="1" ht="39.75" customHeight="1" x14ac:dyDescent="0.25">
      <c r="A656" s="577">
        <v>660</v>
      </c>
      <c r="B656" s="561" t="s">
        <v>3246</v>
      </c>
      <c r="C656" s="562" t="s">
        <v>2678</v>
      </c>
      <c r="D656" s="469" t="s">
        <v>2679</v>
      </c>
      <c r="E656" s="457" t="s">
        <v>3247</v>
      </c>
      <c r="F656" s="565">
        <v>1</v>
      </c>
      <c r="G656" s="573" t="s">
        <v>260</v>
      </c>
      <c r="H656" s="553"/>
      <c r="I656" s="460" t="s">
        <v>251</v>
      </c>
      <c r="J656" s="553"/>
      <c r="K656" s="517" t="s">
        <v>1411</v>
      </c>
      <c r="L656" s="553">
        <v>60008146</v>
      </c>
      <c r="M656" s="521">
        <v>46050</v>
      </c>
      <c r="N656" s="547">
        <v>46050</v>
      </c>
      <c r="O656" s="579" t="s">
        <v>3248</v>
      </c>
      <c r="P656" s="568" t="str">
        <f>IF(LEFT(B656,5)="09735",
    IF(ISNA(VLOOKUP(Tabla13[[#This Row],[Apoyo]],'LM SAP'!A:G,1,FALSE)),
        "No Disponible",
        IF(VLOOKUP(Tabla13[[#This Row],[Apoyo]],'LM SAP'!A:AD,9,FALSE)="RR",
            "Disponible",
            "Firmas SAP"
        )
    ),
    "CONSULTAR"
)</f>
        <v>No Disponible</v>
      </c>
      <c r="Q656" s="553" t="str">
        <f>MID(Tabla13[[#This Row],[Código Indra]],1,13)</f>
        <v>0973545038000</v>
      </c>
      <c r="R656" s="464" t="str">
        <f>IF(ISNA(VLOOKUP(Tabla13[[#This Row],[Código Indra]],#REF!,1,FALSE)),"NO", "SI")</f>
        <v>SI</v>
      </c>
      <c r="S656" s="553" t="str">
        <f>IF(ISNA(VLOOKUP(Tabla13[[#This Row],[Código Indra]],Tabla132[[Código INDRA]:[Nombre]],1,FALSE)),"NO", "SI")</f>
        <v>NO</v>
      </c>
      <c r="T656" s="567"/>
      <c r="V656" s="464" t="e">
        <f>VLOOKUP(Tabla13[[#This Row],[Apoyo]],'LM SAP'!A:I,9,FALSE)</f>
        <v>#N/A</v>
      </c>
      <c r="X656" s="466"/>
      <c r="Y656" s="464">
        <f>Tabla13[[#This Row],[ID]]</f>
        <v>660</v>
      </c>
    </row>
    <row r="657" spans="1:25" s="464" customFormat="1" ht="53.25" customHeight="1" x14ac:dyDescent="0.25">
      <c r="A657" s="577">
        <v>661</v>
      </c>
      <c r="B657" s="578" t="s">
        <v>323</v>
      </c>
      <c r="C657" s="562" t="s">
        <v>324</v>
      </c>
      <c r="D657" s="563" t="s">
        <v>319</v>
      </c>
      <c r="E657" s="564"/>
      <c r="F657" s="565">
        <v>1</v>
      </c>
      <c r="G657" s="573"/>
      <c r="H657" s="553"/>
      <c r="I657" s="553" t="s">
        <v>251</v>
      </c>
      <c r="J657" s="553"/>
      <c r="K657" s="517" t="s">
        <v>1411</v>
      </c>
      <c r="L657" s="553">
        <v>60008087</v>
      </c>
      <c r="M657" s="461">
        <v>46041</v>
      </c>
      <c r="N657" s="547">
        <v>45680</v>
      </c>
      <c r="O657" s="611" t="s">
        <v>3249</v>
      </c>
      <c r="P657" s="568" t="str">
        <f>IF(LEFT(B657,5)="09735",
    IF(ISNA(VLOOKUP(Tabla13[[#This Row],[Apoyo]],'LM SAP'!A:G,1,FALSE)),
        "No Disponible",
        IF(VLOOKUP(Tabla13[[#This Row],[Apoyo]],'LM SAP'!A:AD,9,FALSE)="RR",
            "Disponible",
            "Firmas SAP"
        )
    ),
    "CONSULTAR"
)</f>
        <v>Disponible</v>
      </c>
      <c r="Q657" s="553" t="str">
        <f>MID(Tabla13[[#This Row],[Código Indra]],1,13)</f>
        <v>0973525110200</v>
      </c>
      <c r="R657" s="464" t="str">
        <f>IF(ISNA(VLOOKUP(Tabla13[[#This Row],[Código Indra]],#REF!,1,FALSE)),"NO", "SI")</f>
        <v>SI</v>
      </c>
      <c r="S657" s="553" t="str">
        <f>IF(ISNA(VLOOKUP(Tabla13[[#This Row],[Código Indra]],Tabla132[[Código INDRA]:[Nombre]],1,FALSE)),"NO", "SI")</f>
        <v>SI</v>
      </c>
      <c r="T657" s="567"/>
      <c r="V657" s="464" t="str">
        <f>VLOOKUP(Tabla13[[#This Row],[Apoyo]],'LM SAP'!A:I,9,FALSE)</f>
        <v>RR</v>
      </c>
      <c r="X657" s="466"/>
      <c r="Y657" s="464">
        <f>Tabla13[[#This Row],[ID]]</f>
        <v>661</v>
      </c>
    </row>
    <row r="658" spans="1:25" s="464" customFormat="1" ht="72" x14ac:dyDescent="0.25">
      <c r="A658" s="453">
        <v>662</v>
      </c>
      <c r="B658" s="454" t="s">
        <v>3250</v>
      </c>
      <c r="C658" s="469" t="s">
        <v>2265</v>
      </c>
      <c r="D658" s="456" t="s">
        <v>478</v>
      </c>
      <c r="E658" s="457" t="s">
        <v>3251</v>
      </c>
      <c r="F658" s="458">
        <v>1</v>
      </c>
      <c r="G658" s="459"/>
      <c r="H658" s="460"/>
      <c r="I658" s="460" t="s">
        <v>276</v>
      </c>
      <c r="J658" s="460"/>
      <c r="K658" s="460" t="s">
        <v>1411</v>
      </c>
      <c r="L658" s="460">
        <v>60008277</v>
      </c>
      <c r="M658" s="461">
        <v>46100</v>
      </c>
      <c r="N658" s="461"/>
      <c r="O658" s="612" t="s">
        <v>3252</v>
      </c>
      <c r="P658" s="568" t="str">
        <f>IF(LEFT(B658,5)="09735",
    IF(ISNA(VLOOKUP(Tabla13[[#This Row],[Apoyo]],'LM SAP'!A:G,1,FALSE)),
        "No Disponible",
        IF(VLOOKUP(Tabla13[[#This Row],[Apoyo]],'LM SAP'!A:AD,9,FALSE)="RR",
            "Disponible",
            "Firmas SAP"
        )
    ),
    "CONSULTAR"
)</f>
        <v>No Disponible</v>
      </c>
      <c r="Q658" s="460" t="str">
        <f>MID(Tabla13[[#This Row],[Código Indra]],1,13)</f>
        <v>0973545003800</v>
      </c>
      <c r="R658" s="464" t="str">
        <f>IF(ISNA(VLOOKUP(Tabla13[[#This Row],[Código Indra]],#REF!,1,FALSE)),"NO", "SI")</f>
        <v>SI</v>
      </c>
      <c r="S658" s="460" t="str">
        <f>IF(ISNA(VLOOKUP(Tabla13[[#This Row],[Código Indra]],Tabla132[[Código INDRA]:[Nombre]],1,FALSE)),"NO", "SI")</f>
        <v>NO</v>
      </c>
      <c r="T658" s="465"/>
      <c r="V658" s="464" t="e">
        <f>VLOOKUP(Tabla13[[#This Row],[Apoyo]],'LM SAP'!A:I,9,FALSE)</f>
        <v>#N/A</v>
      </c>
      <c r="X658" s="466"/>
      <c r="Y658" s="464">
        <f>Tabla13[[#This Row],[ID]]</f>
        <v>662</v>
      </c>
    </row>
    <row r="659" spans="1:25" s="464" customFormat="1" ht="35.1" customHeight="1" x14ac:dyDescent="0.25">
      <c r="A659" s="577">
        <v>663</v>
      </c>
      <c r="B659" s="454" t="s">
        <v>3132</v>
      </c>
      <c r="C659" s="469" t="s">
        <v>359</v>
      </c>
      <c r="D659" s="456" t="s">
        <v>319</v>
      </c>
      <c r="E659" s="457" t="s">
        <v>3253</v>
      </c>
      <c r="F659" s="458">
        <v>1</v>
      </c>
      <c r="G659" s="459"/>
      <c r="H659" s="460"/>
      <c r="I659" s="460" t="s">
        <v>276</v>
      </c>
      <c r="J659" s="460"/>
      <c r="K659" s="460" t="s">
        <v>1411</v>
      </c>
      <c r="L659" s="616">
        <v>60008278</v>
      </c>
      <c r="M659" s="461">
        <v>46100</v>
      </c>
      <c r="N659" s="461"/>
      <c r="O659" s="470" t="s">
        <v>3254</v>
      </c>
      <c r="P659" s="568" t="str">
        <f>IF(LEFT(B659,5)="09735",
    IF(ISNA(VLOOKUP(Tabla13[[#This Row],[Apoyo]],'LM SAP'!A:G,1,FALSE)),
        "No Disponible",
        IF(VLOOKUP(Tabla13[[#This Row],[Apoyo]],'LM SAP'!A:AD,9,FALSE)="RR",
            "Disponible",
            "Firmas SAP"
        )
    ),
    "CONSULTAR"
)</f>
        <v>No Disponible</v>
      </c>
      <c r="Q659" s="460" t="str">
        <f>MID(Tabla13[[#This Row],[Código Indra]],1,13)</f>
        <v>0973525111100</v>
      </c>
      <c r="R659" s="464" t="str">
        <f>IF(ISNA(VLOOKUP(Tabla13[[#This Row],[Código Indra]],#REF!,1,FALSE)),"NO", "SI")</f>
        <v>SI</v>
      </c>
      <c r="S659" s="460" t="str">
        <f>IF(ISNA(VLOOKUP(Tabla13[[#This Row],[Código Indra]],Tabla132[[Código INDRA]:[Nombre]],1,FALSE)),"NO", "SI")</f>
        <v>NO</v>
      </c>
      <c r="T659" s="465"/>
      <c r="V659" s="464" t="e">
        <f>VLOOKUP(Tabla13[[#This Row],[Apoyo]],'LM SAP'!A:I,9,FALSE)</f>
        <v>#N/A</v>
      </c>
      <c r="X659" s="466"/>
      <c r="Y659" s="464">
        <f>Tabla13[[#This Row],[ID]]</f>
        <v>663</v>
      </c>
    </row>
    <row r="660" spans="1:25" s="464" customFormat="1" ht="29.1" customHeight="1" x14ac:dyDescent="0.25">
      <c r="A660" s="453">
        <v>664</v>
      </c>
      <c r="B660" s="454" t="s">
        <v>3106</v>
      </c>
      <c r="C660" s="469" t="s">
        <v>408</v>
      </c>
      <c r="D660" s="456" t="s">
        <v>142</v>
      </c>
      <c r="E660" s="457" t="s">
        <v>3255</v>
      </c>
      <c r="F660" s="458">
        <v>1</v>
      </c>
      <c r="G660" s="459"/>
      <c r="H660" s="460"/>
      <c r="I660" s="460" t="s">
        <v>276</v>
      </c>
      <c r="J660" s="460"/>
      <c r="K660" s="517" t="s">
        <v>1411</v>
      </c>
      <c r="L660" s="460">
        <v>60008270</v>
      </c>
      <c r="M660" s="461">
        <v>46069</v>
      </c>
      <c r="N660" s="461">
        <v>46076</v>
      </c>
      <c r="O660" s="470"/>
      <c r="P660" s="568" t="str">
        <f>IF(LEFT(B660,5)="09735",
    IF(ISNA(VLOOKUP(Tabla13[[#This Row],[Apoyo]],'LM SAP'!A:G,1,FALSE)),
        "No Disponible",
        IF(VLOOKUP(Tabla13[[#This Row],[Apoyo]],'LM SAP'!A:AD,9,FALSE)="RR",
            "Disponible",
            "Firmas SAP"
        )
    ),
    "CONSULTAR"
)</f>
        <v>No Disponible</v>
      </c>
      <c r="Q660" s="460" t="str">
        <f>MID(Tabla13[[#This Row],[Código Indra]],1,13)</f>
        <v>0973525140600</v>
      </c>
      <c r="R660" s="464" t="str">
        <f>IF(ISNA(VLOOKUP(Tabla13[[#This Row],[Código Indra]],#REF!,1,FALSE)),"NO", "SI")</f>
        <v>SI</v>
      </c>
      <c r="S660" s="460" t="str">
        <f>IF(ISNA(VLOOKUP(Tabla13[[#This Row],[Código Indra]],Tabla132[[Código INDRA]:[Nombre]],1,FALSE)),"NO", "SI")</f>
        <v>NO</v>
      </c>
      <c r="T660" s="465"/>
      <c r="V660" s="464" t="e">
        <f>VLOOKUP(Tabla13[[#This Row],[Apoyo]],'LM SAP'!A:I,9,FALSE)</f>
        <v>#N/A</v>
      </c>
      <c r="X660" s="466"/>
      <c r="Y660" s="464">
        <f>Tabla13[[#This Row],[ID]]</f>
        <v>664</v>
      </c>
    </row>
    <row r="661" spans="1:25" s="464" customFormat="1" ht="24.6" customHeight="1" x14ac:dyDescent="0.25">
      <c r="A661" s="577">
        <v>665</v>
      </c>
      <c r="B661" s="454" t="s">
        <v>3127</v>
      </c>
      <c r="C661" s="469" t="s">
        <v>411</v>
      </c>
      <c r="D661" s="456" t="s">
        <v>142</v>
      </c>
      <c r="E661" s="457" t="s">
        <v>3256</v>
      </c>
      <c r="F661" s="458">
        <v>1</v>
      </c>
      <c r="G661" s="459"/>
      <c r="H661" s="460"/>
      <c r="I661" s="460" t="s">
        <v>276</v>
      </c>
      <c r="J661" s="460"/>
      <c r="K661" s="517" t="s">
        <v>1411</v>
      </c>
      <c r="L661" s="460">
        <v>60008271</v>
      </c>
      <c r="M661" s="461">
        <v>46069</v>
      </c>
      <c r="N661" s="461">
        <v>46076</v>
      </c>
      <c r="O661" s="470"/>
      <c r="P661" s="568" t="str">
        <f>IF(LEFT(B661,5)="09735",
    IF(ISNA(VLOOKUP(Tabla13[[#This Row],[Apoyo]],'LM SAP'!A:G,1,FALSE)),
        "No Disponible",
        IF(VLOOKUP(Tabla13[[#This Row],[Apoyo]],'LM SAP'!A:AD,9,FALSE)="RR",
            "Disponible",
            "Firmas SAP"
        )
    ),
    "CONSULTAR"
)</f>
        <v>No Disponible</v>
      </c>
      <c r="Q661" s="460" t="str">
        <f>MID(Tabla13[[#This Row],[Código Indra]],1,13)</f>
        <v>0973525140700</v>
      </c>
      <c r="R661" s="464" t="str">
        <f>IF(ISNA(VLOOKUP(Tabla13[[#This Row],[Código Indra]],#REF!,1,FALSE)),"NO", "SI")</f>
        <v>SI</v>
      </c>
      <c r="S661" s="460" t="str">
        <f>IF(ISNA(VLOOKUP(Tabla13[[#This Row],[Código Indra]],Tabla132[[Código INDRA]:[Nombre]],1,FALSE)),"NO", "SI")</f>
        <v>NO</v>
      </c>
      <c r="T661" s="465"/>
      <c r="V661" s="464" t="e">
        <f>VLOOKUP(Tabla13[[#This Row],[Apoyo]],'LM SAP'!A:I,9,FALSE)</f>
        <v>#N/A</v>
      </c>
      <c r="X661" s="466"/>
      <c r="Y661" s="464">
        <f>Tabla13[[#This Row],[ID]]</f>
        <v>665</v>
      </c>
    </row>
    <row r="662" spans="1:25" s="464" customFormat="1" ht="28.35" customHeight="1" x14ac:dyDescent="0.25">
      <c r="A662" s="453">
        <v>666</v>
      </c>
      <c r="B662" s="454" t="s">
        <v>3130</v>
      </c>
      <c r="C662" s="469" t="s">
        <v>415</v>
      </c>
      <c r="D662" s="456" t="s">
        <v>142</v>
      </c>
      <c r="E662" s="457" t="s">
        <v>3257</v>
      </c>
      <c r="F662" s="458">
        <v>1</v>
      </c>
      <c r="G662" s="459"/>
      <c r="H662" s="460"/>
      <c r="I662" s="460" t="s">
        <v>276</v>
      </c>
      <c r="J662" s="460"/>
      <c r="K662" s="460" t="s">
        <v>1411</v>
      </c>
      <c r="L662" s="616">
        <v>60008279</v>
      </c>
      <c r="M662" s="461">
        <v>46100</v>
      </c>
      <c r="N662" s="461"/>
      <c r="O662" s="470" t="s">
        <v>3258</v>
      </c>
      <c r="P662" s="568" t="str">
        <f>IF(LEFT(B662,5)="09735",
    IF(ISNA(VLOOKUP(Tabla13[[#This Row],[Apoyo]],'LM SAP'!A:G,1,FALSE)),
        "No Disponible",
        IF(VLOOKUP(Tabla13[[#This Row],[Apoyo]],'LM SAP'!A:AD,9,FALSE)="RR",
            "Disponible",
            "Firmas SAP"
        )
    ),
    "CONSULTAR"
)</f>
        <v>No Disponible</v>
      </c>
      <c r="Q662" s="460" t="str">
        <f>MID(Tabla13[[#This Row],[Código Indra]],1,13)</f>
        <v>0973525140800</v>
      </c>
      <c r="R662" s="464" t="str">
        <f>IF(ISNA(VLOOKUP(Tabla13[[#This Row],[Código Indra]],#REF!,1,FALSE)),"NO", "SI")</f>
        <v>SI</v>
      </c>
      <c r="S662" s="460" t="str">
        <f>IF(ISNA(VLOOKUP(Tabla13[[#This Row],[Código Indra]],Tabla132[[Código INDRA]:[Nombre]],1,FALSE)),"NO", "SI")</f>
        <v>NO</v>
      </c>
      <c r="T662" s="465"/>
      <c r="V662" s="464" t="e">
        <f>VLOOKUP(Tabla13[[#This Row],[Apoyo]],'LM SAP'!A:I,9,FALSE)</f>
        <v>#N/A</v>
      </c>
      <c r="X662" s="466"/>
      <c r="Y662" s="464">
        <f>Tabla13[[#This Row],[ID]]</f>
        <v>666</v>
      </c>
    </row>
    <row r="663" spans="1:25" s="464" customFormat="1" ht="38.25" customHeight="1" x14ac:dyDescent="0.25">
      <c r="A663" s="577">
        <v>667</v>
      </c>
      <c r="B663" s="454" t="s">
        <v>3259</v>
      </c>
      <c r="C663" s="469" t="s">
        <v>1444</v>
      </c>
      <c r="D663" s="456"/>
      <c r="E663" s="457" t="s">
        <v>2708</v>
      </c>
      <c r="F663" s="458">
        <v>1</v>
      </c>
      <c r="G663" s="459"/>
      <c r="H663" s="460"/>
      <c r="I663" s="460" t="s">
        <v>2251</v>
      </c>
      <c r="J663" s="460"/>
      <c r="K663" s="460" t="s">
        <v>1411</v>
      </c>
      <c r="L663" s="460">
        <v>60008320</v>
      </c>
      <c r="M663" s="461">
        <v>46100</v>
      </c>
      <c r="N663" s="461"/>
      <c r="O663" s="470" t="s">
        <v>3260</v>
      </c>
      <c r="P663" s="463" t="str">
        <f>IF(LEFT(B663,5)="09735",
    IF(ISNA(VLOOKUP(Tabla13[[#This Row],[Apoyo]],'LM SAP'!A:G,1,FALSE)),
        "No Disponible",
        IF(VLOOKUP(Tabla13[[#This Row],[Apoyo]],'LM SAP'!A:AD,9,FALSE)="RR",
            "Disponible",
            "Firmas SAP"
        )
    ),
    "CONSULTAR"
)</f>
        <v>No Disponible</v>
      </c>
      <c r="Q663" s="460" t="str">
        <f>MID(Tabla13[[#This Row],[Código Indra]],1,13)</f>
        <v>0973523060000</v>
      </c>
      <c r="R663" s="464" t="str">
        <f>IF(ISNA(VLOOKUP(Tabla13[[#This Row],[Código Indra]],#REF!,1,FALSE)),"NO", "SI")</f>
        <v>SI</v>
      </c>
      <c r="S663" s="460" t="str">
        <f>IF(ISNA(VLOOKUP(Tabla13[[#This Row],[Código Indra]],Tabla132[[Código INDRA]:[Nombre]],1,FALSE)),"NO", "SI")</f>
        <v>NO</v>
      </c>
      <c r="T663" s="465"/>
      <c r="V663" s="464" t="e">
        <f>VLOOKUP(Tabla13[[#This Row],[Apoyo]],'LM SAP'!A:I,9,FALSE)</f>
        <v>#N/A</v>
      </c>
      <c r="X663" s="466"/>
      <c r="Y663" s="464">
        <f>Tabla13[[#This Row],[ID]]</f>
        <v>667</v>
      </c>
    </row>
    <row r="664" spans="1:25" s="464" customFormat="1" ht="15" customHeight="1" x14ac:dyDescent="0.25">
      <c r="A664" s="453">
        <v>668</v>
      </c>
      <c r="B664" s="454" t="s">
        <v>3261</v>
      </c>
      <c r="C664" s="469" t="s">
        <v>2711</v>
      </c>
      <c r="D664" s="456" t="s">
        <v>200</v>
      </c>
      <c r="E664" s="457" t="s">
        <v>2712</v>
      </c>
      <c r="F664" s="458">
        <v>1</v>
      </c>
      <c r="G664" s="514" t="s">
        <v>199</v>
      </c>
      <c r="H664" s="460"/>
      <c r="I664" s="460" t="s">
        <v>2251</v>
      </c>
      <c r="J664" s="460"/>
      <c r="K664" s="460" t="s">
        <v>1411</v>
      </c>
      <c r="L664" s="460">
        <v>60008115</v>
      </c>
      <c r="M664" s="461">
        <v>46045</v>
      </c>
      <c r="N664" s="461">
        <v>46048</v>
      </c>
      <c r="O664" s="470" t="s">
        <v>3262</v>
      </c>
      <c r="P664" s="463" t="str">
        <f>IF(LEFT(B664,5)="09735",
    IF(ISNA(VLOOKUP(Tabla13[[#This Row],[Apoyo]],'LM SAP'!A:G,1,FALSE)),
        "No Disponible",
        IF(VLOOKUP(Tabla13[[#This Row],[Apoyo]],'LM SAP'!A:AD,9,FALSE)="RR",
            "Disponible",
            "Firmas SAP"
        )
    ),
    "CONSULTAR"
)</f>
        <v>No Disponible</v>
      </c>
      <c r="Q664" s="460" t="str">
        <f>MID(Tabla13[[#This Row],[Código Indra]],1,13)</f>
        <v>0973543060100</v>
      </c>
      <c r="R664" s="464" t="str">
        <f>IF(ISNA(VLOOKUP(Tabla13[[#This Row],[Código Indra]],#REF!,1,FALSE)),"NO", "SI")</f>
        <v>SI</v>
      </c>
      <c r="S664" s="460" t="str">
        <f>IF(ISNA(VLOOKUP(Tabla13[[#This Row],[Código Indra]],Tabla132[[Código INDRA]:[Nombre]],1,FALSE)),"NO", "SI")</f>
        <v>NO</v>
      </c>
      <c r="T664" s="465"/>
      <c r="V664" s="464" t="e">
        <f>VLOOKUP(Tabla13[[#This Row],[Apoyo]],'LM SAP'!A:I,9,FALSE)</f>
        <v>#N/A</v>
      </c>
      <c r="X664" s="466"/>
      <c r="Y664" s="464">
        <f>Tabla13[[#This Row],[ID]]</f>
        <v>668</v>
      </c>
    </row>
    <row r="665" spans="1:25" s="464" customFormat="1" ht="15" customHeight="1" x14ac:dyDescent="0.25">
      <c r="A665" s="577">
        <v>669</v>
      </c>
      <c r="B665" s="454" t="s">
        <v>3263</v>
      </c>
      <c r="C665" s="469" t="s">
        <v>2714</v>
      </c>
      <c r="D665" s="456" t="s">
        <v>200</v>
      </c>
      <c r="E665" s="457" t="s">
        <v>2715</v>
      </c>
      <c r="F665" s="458">
        <v>1</v>
      </c>
      <c r="G665" s="454" t="s">
        <v>199</v>
      </c>
      <c r="H665" s="460"/>
      <c r="I665" s="460" t="s">
        <v>2251</v>
      </c>
      <c r="J665" s="460"/>
      <c r="K665" s="460" t="s">
        <v>1411</v>
      </c>
      <c r="L665" s="460">
        <v>60008114</v>
      </c>
      <c r="M665" s="461">
        <v>46045</v>
      </c>
      <c r="N665" s="461">
        <v>46048</v>
      </c>
      <c r="O665" s="470" t="s">
        <v>3264</v>
      </c>
      <c r="P665" s="463" t="str">
        <f>IF(LEFT(B665,5)="09735",
    IF(ISNA(VLOOKUP(Tabla13[[#This Row],[Apoyo]],'LM SAP'!A:G,1,FALSE)),
        "No Disponible",
        IF(VLOOKUP(Tabla13[[#This Row],[Apoyo]],'LM SAP'!A:AD,9,FALSE)="RR",
            "Disponible",
            "Firmas SAP"
        )
    ),
    "CONSULTAR"
)</f>
        <v>No Disponible</v>
      </c>
      <c r="Q665" s="460" t="str">
        <f>MID(Tabla13[[#This Row],[Código Indra]],1,13)</f>
        <v>0973543060200</v>
      </c>
      <c r="R665" s="464" t="str">
        <f>IF(ISNA(VLOOKUP(Tabla13[[#This Row],[Código Indra]],#REF!,1,FALSE)),"NO", "SI")</f>
        <v>SI</v>
      </c>
      <c r="S665" s="460" t="str">
        <f>IF(ISNA(VLOOKUP(Tabla13[[#This Row],[Código Indra]],Tabla132[[Código INDRA]:[Nombre]],1,FALSE)),"NO", "SI")</f>
        <v>NO</v>
      </c>
      <c r="T665" s="465"/>
      <c r="V665" s="464" t="e">
        <f>VLOOKUP(Tabla13[[#This Row],[Apoyo]],'LM SAP'!A:I,9,FALSE)</f>
        <v>#N/A</v>
      </c>
      <c r="X665" s="466"/>
      <c r="Y665" s="464">
        <f>Tabla13[[#This Row],[ID]]</f>
        <v>669</v>
      </c>
    </row>
    <row r="666" spans="1:25" s="464" customFormat="1" ht="15" customHeight="1" x14ac:dyDescent="0.25">
      <c r="A666" s="453">
        <v>670</v>
      </c>
      <c r="B666" s="454" t="s">
        <v>3265</v>
      </c>
      <c r="C666" s="469" t="s">
        <v>2717</v>
      </c>
      <c r="D666" s="456" t="s">
        <v>200</v>
      </c>
      <c r="E666" s="457" t="s">
        <v>2718</v>
      </c>
      <c r="F666" s="458">
        <v>1</v>
      </c>
      <c r="G666" s="454" t="s">
        <v>199</v>
      </c>
      <c r="H666" s="460"/>
      <c r="I666" s="460" t="s">
        <v>2251</v>
      </c>
      <c r="J666" s="460"/>
      <c r="K666" s="460" t="s">
        <v>1411</v>
      </c>
      <c r="L666" s="460">
        <v>60008113</v>
      </c>
      <c r="M666" s="461">
        <v>46045</v>
      </c>
      <c r="N666" s="461">
        <v>46048</v>
      </c>
      <c r="O666" s="470" t="s">
        <v>3264</v>
      </c>
      <c r="P666" s="463" t="str">
        <f>IF(LEFT(B666,5)="09735",
    IF(ISNA(VLOOKUP(Tabla13[[#This Row],[Apoyo]],'LM SAP'!A:G,1,FALSE)),
        "No Disponible",
        IF(VLOOKUP(Tabla13[[#This Row],[Apoyo]],'LM SAP'!A:AD,9,FALSE)="RR",
            "Disponible",
            "Firmas SAP"
        )
    ),
    "CONSULTAR"
)</f>
        <v>No Disponible</v>
      </c>
      <c r="Q666" s="460" t="str">
        <f>MID(Tabla13[[#This Row],[Código Indra]],1,13)</f>
        <v>0973543060300</v>
      </c>
      <c r="R666" s="464" t="str">
        <f>IF(ISNA(VLOOKUP(Tabla13[[#This Row],[Código Indra]],#REF!,1,FALSE)),"NO", "SI")</f>
        <v>SI</v>
      </c>
      <c r="S666" s="460" t="str">
        <f>IF(ISNA(VLOOKUP(Tabla13[[#This Row],[Código Indra]],Tabla132[[Código INDRA]:[Nombre]],1,FALSE)),"NO", "SI")</f>
        <v>NO</v>
      </c>
      <c r="T666" s="465"/>
      <c r="V666" s="464" t="e">
        <f>VLOOKUP(Tabla13[[#This Row],[Apoyo]],'LM SAP'!A:I,9,FALSE)</f>
        <v>#N/A</v>
      </c>
      <c r="X666" s="466"/>
      <c r="Y666" s="464">
        <f>Tabla13[[#This Row],[ID]]</f>
        <v>670</v>
      </c>
    </row>
    <row r="667" spans="1:25" s="464" customFormat="1" ht="15" customHeight="1" x14ac:dyDescent="0.25">
      <c r="A667" s="577">
        <v>671</v>
      </c>
      <c r="B667" s="480" t="s">
        <v>3266</v>
      </c>
      <c r="C667" s="469" t="s">
        <v>3267</v>
      </c>
      <c r="D667" s="456" t="s">
        <v>200</v>
      </c>
      <c r="E667" s="457" t="s">
        <v>3268</v>
      </c>
      <c r="F667" s="458">
        <v>1</v>
      </c>
      <c r="G667" s="454" t="s">
        <v>199</v>
      </c>
      <c r="H667" s="460"/>
      <c r="I667" s="460" t="s">
        <v>2251</v>
      </c>
      <c r="J667" s="460"/>
      <c r="K667" s="460" t="s">
        <v>1411</v>
      </c>
      <c r="L667" s="517">
        <v>60008112</v>
      </c>
      <c r="M667" s="518">
        <v>46045</v>
      </c>
      <c r="N667" s="461">
        <v>46048</v>
      </c>
      <c r="O667" s="519" t="s">
        <v>3264</v>
      </c>
      <c r="P667" s="520" t="str">
        <f>IF(LEFT(B667,5)="09735",
    IF(ISNA(VLOOKUP(Tabla13[[#This Row],[Apoyo]],'LM SAP'!A:G,1,FALSE)),
        "No Disponible",
        IF(VLOOKUP(Tabla13[[#This Row],[Apoyo]],'LM SAP'!A:AD,9,FALSE)="RR",
            "Disponible",
            "Firmas SAP"
        )
    ),
    "CONSULTAR"
)</f>
        <v>No Disponible</v>
      </c>
      <c r="Q667" s="460" t="str">
        <f>MID(Tabla13[[#This Row],[Código Indra]],1,13)</f>
        <v>0973543060700</v>
      </c>
      <c r="R667" s="464" t="str">
        <f>IF(ISNA(VLOOKUP(Tabla13[[#This Row],[Código Indra]],#REF!,1,FALSE)),"NO", "SI")</f>
        <v>SI</v>
      </c>
      <c r="S667" s="460" t="str">
        <f>IF(ISNA(VLOOKUP(Tabla13[[#This Row],[Código Indra]],Tabla132[[Código INDRA]:[Nombre]],1,FALSE)),"NO", "SI")</f>
        <v>NO</v>
      </c>
      <c r="T667" s="465"/>
      <c r="V667" s="464" t="e">
        <f>VLOOKUP(Tabla13[[#This Row],[Apoyo]],'LM SAP'!A:I,9,FALSE)</f>
        <v>#N/A</v>
      </c>
      <c r="X667" s="466"/>
      <c r="Y667" s="464">
        <f>Tabla13[[#This Row],[ID]]</f>
        <v>671</v>
      </c>
    </row>
    <row r="668" spans="1:25" s="464" customFormat="1" ht="36" x14ac:dyDescent="0.25">
      <c r="A668" s="453">
        <v>672</v>
      </c>
      <c r="B668" s="454" t="s">
        <v>3269</v>
      </c>
      <c r="C668" s="469" t="s">
        <v>202</v>
      </c>
      <c r="D668" s="456"/>
      <c r="E668" s="457" t="s">
        <v>2728</v>
      </c>
      <c r="F668" s="458">
        <v>1</v>
      </c>
      <c r="G668" s="454"/>
      <c r="H668" s="460"/>
      <c r="I668" s="460" t="s">
        <v>2251</v>
      </c>
      <c r="J668" s="460"/>
      <c r="K668" s="613" t="s">
        <v>213</v>
      </c>
      <c r="L668" s="613">
        <v>60008111</v>
      </c>
      <c r="M668" s="518">
        <v>46045</v>
      </c>
      <c r="N668" s="461">
        <v>46048</v>
      </c>
      <c r="O668" s="519" t="s">
        <v>3270</v>
      </c>
      <c r="P668" s="520" t="str">
        <f>IF(LEFT(B668,5)="09735",
    IF(ISNA(VLOOKUP(Tabla13[[#This Row],[Apoyo]],'LM SAP'!A:G,1,FALSE)),
        "No Disponible",
        IF(VLOOKUP(Tabla13[[#This Row],[Apoyo]],'LM SAP'!A:AD,9,FALSE)="RR",
            "Disponible",
            "Firmas SAP"
        )
    ),
    "CONSULTAR"
)</f>
        <v>No Disponible</v>
      </c>
      <c r="Q668" s="460" t="str">
        <f>MID(Tabla13[[#This Row],[Código Indra]],1,13)</f>
        <v>0973523062000</v>
      </c>
      <c r="R668" s="464" t="str">
        <f>IF(ISNA(VLOOKUP(Tabla13[[#This Row],[Código Indra]],#REF!,1,FALSE)),"NO", "SI")</f>
        <v>SI</v>
      </c>
      <c r="S668" s="460" t="str">
        <f>IF(ISNA(VLOOKUP(Tabla13[[#This Row],[Código Indra]],Tabla132[[Código INDRA]:[Nombre]],1,FALSE)),"NO", "SI")</f>
        <v>NO</v>
      </c>
      <c r="T668" s="465"/>
      <c r="V668" s="464" t="e">
        <f>VLOOKUP(Tabla13[[#This Row],[Apoyo]],'LM SAP'!A:I,9,FALSE)</f>
        <v>#N/A</v>
      </c>
      <c r="X668" s="466"/>
      <c r="Y668" s="464">
        <f>Tabla13[[#This Row],[ID]]</f>
        <v>672</v>
      </c>
    </row>
    <row r="669" spans="1:25" s="464" customFormat="1" ht="24" x14ac:dyDescent="0.25">
      <c r="A669" s="577">
        <v>673</v>
      </c>
      <c r="B669" s="454" t="s">
        <v>3271</v>
      </c>
      <c r="C669" s="469" t="s">
        <v>2733</v>
      </c>
      <c r="D669" s="456" t="s">
        <v>202</v>
      </c>
      <c r="E669" s="457" t="s">
        <v>2734</v>
      </c>
      <c r="F669" s="458">
        <v>1</v>
      </c>
      <c r="G669" s="454" t="s">
        <v>201</v>
      </c>
      <c r="H669" s="460"/>
      <c r="I669" s="460" t="s">
        <v>2251</v>
      </c>
      <c r="J669" s="460"/>
      <c r="K669" s="613" t="s">
        <v>213</v>
      </c>
      <c r="L669" s="512">
        <v>60008110</v>
      </c>
      <c r="M669" s="518">
        <v>46045</v>
      </c>
      <c r="N669" s="461">
        <v>46048</v>
      </c>
      <c r="O669" s="519" t="s">
        <v>3270</v>
      </c>
      <c r="P669" s="520" t="str">
        <f>IF(LEFT(B669,5)="09735",
    IF(ISNA(VLOOKUP(Tabla13[[#This Row],[Apoyo]],'LM SAP'!A:G,1,FALSE)),
        "No Disponible",
        IF(VLOOKUP(Tabla13[[#This Row],[Apoyo]],'LM SAP'!A:AD,9,FALSE)="RR",
            "Disponible",
            "Firmas SAP"
        )
    ),
    "CONSULTAR"
)</f>
        <v>Disponible</v>
      </c>
      <c r="Q669" s="460" t="str">
        <f>MID(Tabla13[[#This Row],[Código Indra]],1,13)</f>
        <v>0973543063000</v>
      </c>
      <c r="R669" s="464" t="str">
        <f>IF(ISNA(VLOOKUP(Tabla13[[#This Row],[Código Indra]],#REF!,1,FALSE)),"NO", "SI")</f>
        <v>SI</v>
      </c>
      <c r="S669" s="460" t="str">
        <f>IF(ISNA(VLOOKUP(Tabla13[[#This Row],[Código Indra]],Tabla132[[Código INDRA]:[Nombre]],1,FALSE)),"NO", "SI")</f>
        <v>NO</v>
      </c>
      <c r="T669" s="465"/>
      <c r="V669" s="464" t="str">
        <f>VLOOKUP(Tabla13[[#This Row],[Apoyo]],'LM SAP'!A:I,9,FALSE)</f>
        <v>RR</v>
      </c>
      <c r="X669" s="466"/>
      <c r="Y669" s="464">
        <f>Tabla13[[#This Row],[ID]]</f>
        <v>673</v>
      </c>
    </row>
    <row r="670" spans="1:25" s="464" customFormat="1" ht="36" x14ac:dyDescent="0.25">
      <c r="A670" s="577">
        <v>674</v>
      </c>
      <c r="B670" s="561" t="s">
        <v>3272</v>
      </c>
      <c r="C670" s="564" t="s">
        <v>258</v>
      </c>
      <c r="D670" s="573"/>
      <c r="E670" s="564" t="s">
        <v>3273</v>
      </c>
      <c r="F670" s="565">
        <v>1</v>
      </c>
      <c r="G670" s="573"/>
      <c r="H670" s="553"/>
      <c r="I670" s="553" t="s">
        <v>251</v>
      </c>
      <c r="J670" s="553"/>
      <c r="K670" s="460" t="s">
        <v>1411</v>
      </c>
      <c r="L670" s="553">
        <v>60008303</v>
      </c>
      <c r="M670" s="547">
        <v>46076</v>
      </c>
      <c r="N670" s="547"/>
      <c r="O670" s="594" t="s">
        <v>3274</v>
      </c>
      <c r="P670" s="574" t="str">
        <f>IF(LEFT(B670,5)="09735",
    IF(ISNA(VLOOKUP(Tabla13[[#This Row],[Apoyo]],'LM SAP'!A:G,1,FALSE)),
        "No Disponible",
        IF(VLOOKUP(Tabla13[[#This Row],[Apoyo]],'LM SAP'!A:AD,9,FALSE)="RR",
            "Disponible",
            "Firmas SAP"
        )
    ),
    "CONSULTAR"
)</f>
        <v>No Disponible</v>
      </c>
      <c r="Q670" s="553" t="str">
        <f>MID(Tabla13[[#This Row],[Código Indra]],1,13)</f>
        <v>0973525030500</v>
      </c>
      <c r="R670" s="464" t="str">
        <f>IF(ISNA(VLOOKUP(Tabla13[[#This Row],[Código Indra]],#REF!,1,FALSE)),"NO", "SI")</f>
        <v>SI</v>
      </c>
      <c r="S670" s="553" t="str">
        <f>IF(ISNA(VLOOKUP(Tabla13[[#This Row],[Código Indra]],Tabla132[[Código INDRA]:[Nombre]],1,FALSE)),"NO", "SI")</f>
        <v>NO</v>
      </c>
      <c r="T670" s="567"/>
      <c r="V670" s="464" t="e">
        <f>VLOOKUP(Tabla13[[#This Row],[Apoyo]],'LM SAP'!A:I,9,FALSE)</f>
        <v>#N/A</v>
      </c>
      <c r="X670" s="466"/>
      <c r="Y670" s="464">
        <f>Tabla13[[#This Row],[ID]]</f>
        <v>674</v>
      </c>
    </row>
    <row r="671" spans="1:25" s="464" customFormat="1" ht="48" x14ac:dyDescent="0.25">
      <c r="A671" s="577">
        <v>675</v>
      </c>
      <c r="B671" s="561" t="s">
        <v>3275</v>
      </c>
      <c r="C671" s="562" t="s">
        <v>3276</v>
      </c>
      <c r="D671" s="563"/>
      <c r="E671" s="564" t="s">
        <v>3277</v>
      </c>
      <c r="F671" s="565">
        <v>1</v>
      </c>
      <c r="G671" s="573"/>
      <c r="H671" s="553"/>
      <c r="I671" s="553" t="s">
        <v>251</v>
      </c>
      <c r="J671" s="553"/>
      <c r="K671" s="460" t="s">
        <v>1411</v>
      </c>
      <c r="L671" s="529">
        <v>60008321</v>
      </c>
      <c r="M671" s="461">
        <v>46100</v>
      </c>
      <c r="N671" s="547"/>
      <c r="O671" s="594" t="s">
        <v>3278</v>
      </c>
      <c r="P671" s="574" t="str">
        <f>IF(LEFT(B671,5)="09735",
    IF(ISNA(VLOOKUP(Tabla13[[#This Row],[Apoyo]],'LM SAP'!A:G,1,FALSE)),
        "No Disponible",
        IF(VLOOKUP(Tabla13[[#This Row],[Apoyo]],'LM SAP'!A:AD,9,FALSE)="RR",
            "Disponible",
            "Firmas SAP"
        )
    ),
    "CONSULTAR"
)</f>
        <v>No Disponible</v>
      </c>
      <c r="Q671" s="553" t="str">
        <f>MID(Tabla13[[#This Row],[Código Indra]],1,13)</f>
        <v>0973525060500</v>
      </c>
      <c r="R671" s="464" t="str">
        <f>IF(ISNA(VLOOKUP(Tabla13[[#This Row],[Código Indra]],#REF!,1,FALSE)),"NO", "SI")</f>
        <v>SI</v>
      </c>
      <c r="S671" s="553" t="str">
        <f>IF(ISNA(VLOOKUP(Tabla13[[#This Row],[Código Indra]],Tabla132[[Código INDRA]:[Nombre]],1,FALSE)),"NO", "SI")</f>
        <v>NO</v>
      </c>
      <c r="T671" s="567"/>
      <c r="V671" s="464" t="e">
        <f>VLOOKUP(Tabla13[[#This Row],[Apoyo]],'LM SAP'!A:I,9,FALSE)</f>
        <v>#N/A</v>
      </c>
      <c r="X671" s="466"/>
      <c r="Y671" s="464">
        <f>Tabla13[[#This Row],[ID]]</f>
        <v>675</v>
      </c>
    </row>
    <row r="672" spans="1:25" s="464" customFormat="1" ht="40.5" customHeight="1" x14ac:dyDescent="0.25">
      <c r="A672" s="577">
        <v>676</v>
      </c>
      <c r="B672" s="561" t="s">
        <v>3099</v>
      </c>
      <c r="C672" s="562" t="s">
        <v>463</v>
      </c>
      <c r="D672" s="563" t="s">
        <v>50</v>
      </c>
      <c r="E672" s="564" t="s">
        <v>3279</v>
      </c>
      <c r="F672" s="565">
        <v>1</v>
      </c>
      <c r="G672" s="573"/>
      <c r="H672" s="553"/>
      <c r="I672" s="553" t="s">
        <v>276</v>
      </c>
      <c r="J672" s="553"/>
      <c r="K672" s="460" t="s">
        <v>1411</v>
      </c>
      <c r="L672" s="553">
        <v>60008322</v>
      </c>
      <c r="M672" s="461">
        <v>46100</v>
      </c>
      <c r="N672" s="521"/>
      <c r="O672" s="614" t="s">
        <v>3280</v>
      </c>
      <c r="P672" s="568" t="str">
        <f>IF(LEFT(B672,5)="09735",
    IF(ISNA(VLOOKUP(Tabla13[[#This Row],[Apoyo]],'LM SAP'!A:G,1,FALSE)),
        "No Disponible",
        IF(VLOOKUP(Tabla13[[#This Row],[Apoyo]],'LM SAP'!A:AD,9,FALSE)="RR",
            "Disponible",
            "Firmas SAP"
        )
    ),
    "CONSULTAR"
)</f>
        <v>No Disponible</v>
      </c>
      <c r="Q672" s="553" t="str">
        <f>MID(Tabla13[[#This Row],[Código Indra]],1,13)</f>
        <v>0973525300100</v>
      </c>
      <c r="R672" s="464" t="str">
        <f>IF(ISNA(VLOOKUP(Tabla13[[#This Row],[Código Indra]],#REF!,1,FALSE)),"NO", "SI")</f>
        <v>SI</v>
      </c>
      <c r="S672" s="553" t="str">
        <f>IF(ISNA(VLOOKUP(Tabla13[[#This Row],[Código Indra]],Tabla132[[Código INDRA]:[Nombre]],1,FALSE)),"NO", "SI")</f>
        <v>NO</v>
      </c>
      <c r="T672" s="567"/>
      <c r="V672" s="464" t="e">
        <f>VLOOKUP(Tabla13[[#This Row],[Apoyo]],'LM SAP'!A:I,9,FALSE)</f>
        <v>#N/A</v>
      </c>
      <c r="X672" s="466"/>
      <c r="Y672" s="464">
        <f>Tabla13[[#This Row],[ID]]</f>
        <v>676</v>
      </c>
    </row>
    <row r="673" spans="1:24" s="464" customFormat="1" ht="48" x14ac:dyDescent="0.25">
      <c r="A673" s="453">
        <v>677</v>
      </c>
      <c r="B673" s="480" t="s">
        <v>115</v>
      </c>
      <c r="C673" s="469" t="s">
        <v>116</v>
      </c>
      <c r="D673" s="456" t="s">
        <v>116</v>
      </c>
      <c r="E673" s="526" t="s">
        <v>3281</v>
      </c>
      <c r="F673" s="458">
        <v>1</v>
      </c>
      <c r="G673" s="459"/>
      <c r="H673" s="460"/>
      <c r="I673" s="460" t="s">
        <v>251</v>
      </c>
      <c r="J673" s="460"/>
      <c r="K673" s="517" t="s">
        <v>1411</v>
      </c>
      <c r="L673" s="460">
        <v>60008461</v>
      </c>
      <c r="M673" s="461">
        <v>46120</v>
      </c>
      <c r="N673" s="461"/>
      <c r="O673" s="590" t="s">
        <v>3282</v>
      </c>
      <c r="P673" s="568" t="str">
        <f>IF(LEFT(B673,5)="09735",
    IF(ISNA(VLOOKUP(Tabla13[[#This Row],[Apoyo]],'LM SAP'!A:G,1,FALSE)),
        "No Disponible",
        IF(VLOOKUP(Tabla13[[#This Row],[Apoyo]],'LM SAP'!A:AD,9,FALSE)="RR",
            "Disponible",
            "Firmas SAP"
        )
    ),
    "CONSULTAR"
)</f>
        <v>No Disponible</v>
      </c>
      <c r="Q673" s="460"/>
      <c r="S673" s="460"/>
      <c r="T673" s="465"/>
      <c r="X673" s="466"/>
    </row>
    <row r="674" spans="1:24" s="464" customFormat="1" ht="15" customHeight="1" x14ac:dyDescent="0.25">
      <c r="A674" s="453"/>
      <c r="B674" s="454"/>
      <c r="C674" s="469"/>
      <c r="D674" s="456"/>
      <c r="E674" s="457"/>
      <c r="F674" s="458"/>
      <c r="G674" s="459"/>
      <c r="H674" s="460"/>
      <c r="I674" s="460"/>
      <c r="J674" s="460"/>
      <c r="K674" s="517"/>
      <c r="L674" s="460"/>
      <c r="M674" s="461"/>
      <c r="N674" s="461"/>
      <c r="O674" s="470"/>
      <c r="P674" s="568" t="str">
        <f>IF(LEFT(B674,5)="09735",
    IF(ISNA(VLOOKUP(Tabla13[[#This Row],[Apoyo]],'LM SAP'!A:G,1,FALSE)),
        "No Disponible",
        IF(VLOOKUP(Tabla13[[#This Row],[Apoyo]],'LM SAP'!A:AD,9,FALSE)="RR",
            "Disponible",
            "Firmas SAP"
        )
    ),
    "CONSULTAR"
)</f>
        <v>CONSULTAR</v>
      </c>
      <c r="Q674" s="460"/>
      <c r="S674" s="460"/>
      <c r="T674" s="465"/>
      <c r="X674" s="466"/>
    </row>
    <row r="675" spans="1:24" s="464" customFormat="1" ht="15" customHeight="1" x14ac:dyDescent="0.25">
      <c r="A675" s="453"/>
      <c r="B675" s="454"/>
      <c r="C675" s="469"/>
      <c r="D675" s="456"/>
      <c r="E675" s="457"/>
      <c r="F675" s="458"/>
      <c r="G675" s="459"/>
      <c r="H675" s="460"/>
      <c r="I675" s="460"/>
      <c r="J675" s="460"/>
      <c r="K675" s="517"/>
      <c r="L675" s="460"/>
      <c r="M675" s="461"/>
      <c r="N675" s="461"/>
      <c r="O675" s="470"/>
      <c r="P675" s="568" t="str">
        <f>IF(LEFT(B675,5)="09735",
    IF(ISNA(VLOOKUP(Tabla13[[#This Row],[Apoyo]],'LM SAP'!A:G,1,FALSE)),
        "No Disponible",
        IF(VLOOKUP(Tabla13[[#This Row],[Apoyo]],'LM SAP'!A:AD,9,FALSE)="RR",
            "Disponible",
            "Firmas SAP"
        )
    ),
    "CONSULTAR"
)</f>
        <v>CONSULTAR</v>
      </c>
      <c r="Q675" s="460"/>
      <c r="S675" s="460"/>
      <c r="T675" s="465"/>
      <c r="X675" s="466"/>
    </row>
    <row r="676" spans="1:24" s="464" customFormat="1" ht="15" customHeight="1" x14ac:dyDescent="0.25">
      <c r="A676" s="577"/>
      <c r="B676" s="578"/>
      <c r="C676" s="562"/>
      <c r="D676" s="563"/>
      <c r="E676" s="564"/>
      <c r="F676" s="565"/>
      <c r="G676" s="573"/>
      <c r="H676" s="553"/>
      <c r="I676" s="553"/>
      <c r="J676" s="553"/>
      <c r="K676" s="529"/>
      <c r="L676" s="553"/>
      <c r="M676" s="521"/>
      <c r="N676" s="521"/>
      <c r="O676" s="579"/>
      <c r="P676" s="568" t="str">
        <f>IF(LEFT(B676,5)="09735",
    IF(ISNA(VLOOKUP(Tabla13[[#This Row],[Apoyo]],'LM SAP'!A:G,1,FALSE)),
        "No Disponible",
        IF(VLOOKUP(Tabla13[[#This Row],[Apoyo]],'LM SAP'!A:AD,9,FALSE)="RR",
            "Disponible",
            "Firmas SAP"
        )
    ),
    "CONSULTAR"
)</f>
        <v>CONSULTAR</v>
      </c>
      <c r="Q676" s="553"/>
      <c r="S676" s="553"/>
      <c r="T676" s="567"/>
      <c r="X676" s="466"/>
    </row>
    <row r="677" spans="1:24" s="464" customFormat="1" ht="15" customHeight="1" x14ac:dyDescent="0.25">
      <c r="A677" s="453"/>
      <c r="B677" s="454"/>
      <c r="C677" s="469"/>
      <c r="D677" s="456"/>
      <c r="E677" s="457"/>
      <c r="F677" s="458"/>
      <c r="G677" s="459"/>
      <c r="H677" s="460"/>
      <c r="I677" s="460"/>
      <c r="J677" s="460"/>
      <c r="K677" s="517"/>
      <c r="L677" s="460"/>
      <c r="M677" s="461"/>
      <c r="N677" s="461"/>
      <c r="O677" s="470"/>
      <c r="P677" s="568" t="str">
        <f>IF(LEFT(B677,5)="09735",
    IF(ISNA(VLOOKUP(Tabla13[[#This Row],[Apoyo]],'LM SAP'!A:G,1,FALSE)),
        "No Disponible",
        IF(VLOOKUP(Tabla13[[#This Row],[Apoyo]],'LM SAP'!A:AD,9,FALSE)="RR",
            "Disponible",
            "Firmas SAP"
        )
    ),
    "CONSULTAR"
)</f>
        <v>CONSULTAR</v>
      </c>
      <c r="Q677" s="460"/>
      <c r="S677" s="460"/>
      <c r="T677" s="465" t="s">
        <v>3283</v>
      </c>
      <c r="X677" s="466"/>
    </row>
    <row r="678" spans="1:24" s="464" customFormat="1" ht="15" customHeight="1" x14ac:dyDescent="0.25">
      <c r="A678" s="453"/>
      <c r="B678" s="454"/>
      <c r="C678" s="469"/>
      <c r="D678" s="456"/>
      <c r="E678" s="457"/>
      <c r="F678" s="458"/>
      <c r="G678" s="459"/>
      <c r="H678" s="460"/>
      <c r="I678" s="460"/>
      <c r="J678" s="460"/>
      <c r="K678" s="517"/>
      <c r="L678" s="460"/>
      <c r="M678" s="461"/>
      <c r="N678" s="461"/>
      <c r="O678" s="470"/>
      <c r="P678" s="568" t="str">
        <f>IF(LEFT(B678,5)="09735",
    IF(ISNA(VLOOKUP(Tabla13[[#This Row],[Apoyo]],'LM SAP'!A:G,1,FALSE)),
        "No Disponible",
        IF(VLOOKUP(Tabla13[[#This Row],[Apoyo]],'LM SAP'!A:AD,9,FALSE)="RR",
            "Disponible",
            "Firmas SAP"
        )
    ),
    "CONSULTAR"
)</f>
        <v>CONSULTAR</v>
      </c>
      <c r="Q678" s="460"/>
      <c r="S678" s="460"/>
      <c r="T678" s="465"/>
      <c r="X678" s="466"/>
    </row>
    <row r="679" spans="1:24" s="464" customFormat="1" ht="15" customHeight="1" x14ac:dyDescent="0.25">
      <c r="A679" s="453"/>
      <c r="B679" s="454"/>
      <c r="C679" s="469"/>
      <c r="D679" s="456"/>
      <c r="E679" s="457"/>
      <c r="F679" s="458"/>
      <c r="G679" s="459"/>
      <c r="H679" s="460"/>
      <c r="I679" s="460"/>
      <c r="J679" s="460"/>
      <c r="K679" s="517"/>
      <c r="L679" s="460"/>
      <c r="M679" s="461"/>
      <c r="N679" s="461"/>
      <c r="O679" s="470"/>
      <c r="P679" s="568" t="str">
        <f>IF(LEFT(B679,5)="09735",
    IF(ISNA(VLOOKUP(Tabla13[[#This Row],[Apoyo]],'LM SAP'!A:G,1,FALSE)),
        "No Disponible",
        IF(VLOOKUP(Tabla13[[#This Row],[Apoyo]],'LM SAP'!A:AD,9,FALSE)="RR",
            "Disponible",
            "Firmas SAP"
        )
    ),
    "CONSULTAR"
)</f>
        <v>CONSULTAR</v>
      </c>
      <c r="Q679" s="460"/>
      <c r="S679" s="460"/>
      <c r="T679" s="465"/>
      <c r="X679" s="466"/>
    </row>
    <row r="680" spans="1:24" s="464" customFormat="1" ht="15" customHeight="1" x14ac:dyDescent="0.25">
      <c r="A680" s="453"/>
      <c r="B680" s="454"/>
      <c r="C680" s="469"/>
      <c r="D680" s="456"/>
      <c r="E680" s="457"/>
      <c r="F680" s="458"/>
      <c r="G680" s="459"/>
      <c r="H680" s="460"/>
      <c r="I680" s="460"/>
      <c r="J680" s="460"/>
      <c r="K680" s="517"/>
      <c r="L680" s="460"/>
      <c r="M680" s="461"/>
      <c r="N680" s="461"/>
      <c r="O680" s="470"/>
      <c r="P680" s="568" t="str">
        <f>IF(LEFT(B680,5)="09735",
    IF(ISNA(VLOOKUP(Tabla13[[#This Row],[Apoyo]],'LM SAP'!A:G,1,FALSE)),
        "No Disponible",
        IF(VLOOKUP(Tabla13[[#This Row],[Apoyo]],'LM SAP'!A:AD,9,FALSE)="RR",
            "Disponible",
            "Firmas SAP"
        )
    ),
    "CONSULTAR"
)</f>
        <v>CONSULTAR</v>
      </c>
      <c r="Q680" s="460"/>
      <c r="S680" s="460"/>
      <c r="T680" s="465"/>
      <c r="X680" s="466"/>
    </row>
    <row r="681" spans="1:24" s="464" customFormat="1" ht="15" customHeight="1" x14ac:dyDescent="0.25">
      <c r="A681" s="453"/>
      <c r="B681" s="454"/>
      <c r="C681" s="469"/>
      <c r="D681" s="456"/>
      <c r="E681" s="457"/>
      <c r="F681" s="458"/>
      <c r="G681" s="459"/>
      <c r="H681" s="460"/>
      <c r="I681" s="460"/>
      <c r="J681" s="460"/>
      <c r="K681" s="517"/>
      <c r="L681" s="460"/>
      <c r="M681" s="461"/>
      <c r="N681" s="461"/>
      <c r="O681" s="470"/>
      <c r="P681" s="568" t="str">
        <f>IF(LEFT(B681,5)="09735",
    IF(ISNA(VLOOKUP(Tabla13[[#This Row],[Apoyo]],'LM SAP'!A:G,1,FALSE)),
        "No Disponible",
        IF(VLOOKUP(Tabla13[[#This Row],[Apoyo]],'LM SAP'!A:AD,9,FALSE)="RR",
            "Disponible",
            "Firmas SAP"
        )
    ),
    "CONSULTAR"
)</f>
        <v>CONSULTAR</v>
      </c>
      <c r="Q681" s="460"/>
      <c r="S681" s="460"/>
      <c r="T681" s="465"/>
      <c r="X681" s="466"/>
    </row>
    <row r="682" spans="1:24" s="464" customFormat="1" ht="15" customHeight="1" x14ac:dyDescent="0.25">
      <c r="A682" s="453"/>
      <c r="B682" s="454"/>
      <c r="C682" s="469"/>
      <c r="D682" s="456"/>
      <c r="E682" s="457"/>
      <c r="F682" s="458"/>
      <c r="G682" s="459"/>
      <c r="H682" s="460"/>
      <c r="I682" s="460"/>
      <c r="J682" s="460"/>
      <c r="K682" s="517"/>
      <c r="L682" s="460"/>
      <c r="M682" s="461"/>
      <c r="N682" s="461"/>
      <c r="O682" s="470"/>
      <c r="P682" s="568" t="str">
        <f>IF(LEFT(B682,5)="09735",
    IF(ISNA(VLOOKUP(Tabla13[[#This Row],[Apoyo]],'LM SAP'!A:G,1,FALSE)),
        "No Disponible",
        IF(VLOOKUP(Tabla13[[#This Row],[Apoyo]],'LM SAP'!A:AD,9,FALSE)="RR",
            "Disponible",
            "Firmas SAP"
        )
    ),
    "CONSULTAR"
)</f>
        <v>CONSULTAR</v>
      </c>
      <c r="Q682" s="460"/>
      <c r="S682" s="460"/>
      <c r="T682" s="465"/>
      <c r="X682" s="466"/>
    </row>
    <row r="683" spans="1:24" s="464" customFormat="1" ht="15" customHeight="1" x14ac:dyDescent="0.25">
      <c r="A683" s="453"/>
      <c r="B683" s="454"/>
      <c r="C683" s="469"/>
      <c r="D683" s="456"/>
      <c r="E683" s="457"/>
      <c r="F683" s="458"/>
      <c r="G683" s="459"/>
      <c r="H683" s="460"/>
      <c r="I683" s="460"/>
      <c r="J683" s="460"/>
      <c r="K683" s="517"/>
      <c r="L683" s="460"/>
      <c r="M683" s="461"/>
      <c r="N683" s="461"/>
      <c r="O683" s="470"/>
      <c r="P683" s="568" t="str">
        <f>IF(LEFT(B683,5)="09735",
    IF(ISNA(VLOOKUP(Tabla13[[#This Row],[Apoyo]],'LM SAP'!A:G,1,FALSE)),
        "No Disponible",
        IF(VLOOKUP(Tabla13[[#This Row],[Apoyo]],'LM SAP'!A:AD,9,FALSE)="RR",
            "Disponible",
            "Firmas SAP"
        )
    ),
    "CONSULTAR"
)</f>
        <v>CONSULTAR</v>
      </c>
      <c r="Q683" s="460"/>
      <c r="S683" s="460"/>
      <c r="T683" s="465"/>
      <c r="X683" s="466"/>
    </row>
    <row r="684" spans="1:24" s="464" customFormat="1" ht="15" customHeight="1" x14ac:dyDescent="0.25">
      <c r="A684" s="453"/>
      <c r="B684" s="454"/>
      <c r="C684" s="469"/>
      <c r="D684" s="456"/>
      <c r="E684" s="457"/>
      <c r="F684" s="458"/>
      <c r="G684" s="459"/>
      <c r="H684" s="460"/>
      <c r="I684" s="460"/>
      <c r="J684" s="460"/>
      <c r="K684" s="517"/>
      <c r="L684" s="460"/>
      <c r="M684" s="461"/>
      <c r="N684" s="461"/>
      <c r="O684" s="470"/>
      <c r="P684" s="568" t="str">
        <f>IF(LEFT(B684,5)="09735",
    IF(ISNA(VLOOKUP(Tabla13[[#This Row],[Apoyo]],'LM SAP'!A:G,1,FALSE)),
        "No Disponible",
        IF(VLOOKUP(Tabla13[[#This Row],[Apoyo]],'LM SAP'!A:AD,9,FALSE)="RR",
            "Disponible",
            "Firmas SAP"
        )
    ),
    "CONSULTAR"
)</f>
        <v>CONSULTAR</v>
      </c>
      <c r="Q684" s="460"/>
      <c r="S684" s="460"/>
      <c r="T684" s="465"/>
      <c r="X684" s="466"/>
    </row>
    <row r="685" spans="1:24" s="464" customFormat="1" ht="15" customHeight="1" x14ac:dyDescent="0.25">
      <c r="A685" s="453"/>
      <c r="B685" s="454"/>
      <c r="C685" s="469"/>
      <c r="D685" s="456"/>
      <c r="E685" s="457"/>
      <c r="F685" s="458"/>
      <c r="G685" s="459"/>
      <c r="H685" s="460"/>
      <c r="I685" s="460"/>
      <c r="J685" s="460"/>
      <c r="K685" s="517"/>
      <c r="L685" s="460"/>
      <c r="M685" s="461"/>
      <c r="N685" s="461"/>
      <c r="O685" s="470"/>
      <c r="P685" s="568" t="str">
        <f>IF(LEFT(B685,5)="09735",
    IF(ISNA(VLOOKUP(Tabla13[[#This Row],[Apoyo]],'LM SAP'!A:G,1,FALSE)),
        "No Disponible",
        IF(VLOOKUP(Tabla13[[#This Row],[Apoyo]],'LM SAP'!A:AD,9,FALSE)="RR",
            "Disponible",
            "Firmas SAP"
        )
    ),
    "CONSULTAR"
)</f>
        <v>CONSULTAR</v>
      </c>
      <c r="Q685" s="460"/>
      <c r="S685" s="460"/>
      <c r="T685" s="465"/>
      <c r="X685" s="466"/>
    </row>
    <row r="686" spans="1:24" s="464" customFormat="1" ht="15" customHeight="1" x14ac:dyDescent="0.25">
      <c r="A686" s="453"/>
      <c r="B686" s="454"/>
      <c r="C686" s="469"/>
      <c r="D686" s="456"/>
      <c r="E686" s="457"/>
      <c r="F686" s="458"/>
      <c r="G686" s="459"/>
      <c r="H686" s="460"/>
      <c r="I686" s="460"/>
      <c r="J686" s="460"/>
      <c r="K686" s="517"/>
      <c r="L686" s="460"/>
      <c r="M686" s="461"/>
      <c r="N686" s="461"/>
      <c r="O686" s="470"/>
      <c r="P686" s="568" t="str">
        <f>IF(LEFT(B686,5)="09735",
    IF(ISNA(VLOOKUP(Tabla13[[#This Row],[Apoyo]],'LM SAP'!A:G,1,FALSE)),
        "No Disponible",
        IF(VLOOKUP(Tabla13[[#This Row],[Apoyo]],'LM SAP'!A:AD,9,FALSE)="RR",
            "Disponible",
            "Firmas SAP"
        )
    ),
    "CONSULTAR"
)</f>
        <v>CONSULTAR</v>
      </c>
      <c r="Q686" s="460"/>
      <c r="S686" s="460"/>
      <c r="T686" s="465"/>
      <c r="X686" s="466"/>
    </row>
    <row r="687" spans="1:24" s="464" customFormat="1" ht="15" customHeight="1" x14ac:dyDescent="0.25">
      <c r="A687" s="453"/>
      <c r="B687" s="454"/>
      <c r="C687" s="469"/>
      <c r="D687" s="456"/>
      <c r="E687" s="457"/>
      <c r="F687" s="458"/>
      <c r="G687" s="459"/>
      <c r="H687" s="460"/>
      <c r="I687" s="460"/>
      <c r="J687" s="460"/>
      <c r="K687" s="517"/>
      <c r="L687" s="460"/>
      <c r="M687" s="461"/>
      <c r="N687" s="461"/>
      <c r="O687" s="470"/>
      <c r="P687" s="568" t="str">
        <f>IF(LEFT(B687,5)="09735",
    IF(ISNA(VLOOKUP(Tabla13[[#This Row],[Apoyo]],'LM SAP'!A:G,1,FALSE)),
        "No Disponible",
        IF(VLOOKUP(Tabla13[[#This Row],[Apoyo]],'LM SAP'!A:AD,9,FALSE)="RR",
            "Disponible",
            "Firmas SAP"
        )
    ),
    "CONSULTAR"
)</f>
        <v>CONSULTAR</v>
      </c>
      <c r="Q687" s="460"/>
      <c r="S687" s="460"/>
      <c r="T687" s="465"/>
      <c r="X687" s="466"/>
    </row>
    <row r="688" spans="1:24" s="464" customFormat="1" ht="15" customHeight="1" x14ac:dyDescent="0.25">
      <c r="A688" s="453"/>
      <c r="B688" s="454"/>
      <c r="C688" s="469"/>
      <c r="D688" s="456"/>
      <c r="E688" s="457"/>
      <c r="F688" s="458"/>
      <c r="G688" s="459"/>
      <c r="H688" s="460"/>
      <c r="I688" s="460"/>
      <c r="J688" s="460"/>
      <c r="K688" s="517"/>
      <c r="L688" s="460"/>
      <c r="M688" s="461"/>
      <c r="N688" s="461"/>
      <c r="O688" s="470"/>
      <c r="P688" s="568" t="str">
        <f>IF(LEFT(B688,5)="09735",
    IF(ISNA(VLOOKUP(Tabla13[[#This Row],[Apoyo]],'LM SAP'!A:G,1,FALSE)),
        "No Disponible",
        IF(VLOOKUP(Tabla13[[#This Row],[Apoyo]],'LM SAP'!A:AD,9,FALSE)="RR",
            "Disponible",
            "Firmas SAP"
        )
    ),
    "CONSULTAR"
)</f>
        <v>CONSULTAR</v>
      </c>
      <c r="Q688" s="460"/>
      <c r="S688" s="460"/>
      <c r="T688" s="465"/>
      <c r="X688" s="466"/>
    </row>
    <row r="689" spans="1:24" s="464" customFormat="1" ht="15" customHeight="1" x14ac:dyDescent="0.25">
      <c r="A689" s="453"/>
      <c r="B689" s="454"/>
      <c r="C689" s="469"/>
      <c r="D689" s="456"/>
      <c r="E689" s="457"/>
      <c r="F689" s="458"/>
      <c r="G689" s="459"/>
      <c r="H689" s="460"/>
      <c r="I689" s="460"/>
      <c r="J689" s="460"/>
      <c r="K689" s="517"/>
      <c r="L689" s="460"/>
      <c r="M689" s="461"/>
      <c r="N689" s="461"/>
      <c r="O689" s="470"/>
      <c r="P689" s="568" t="str">
        <f>IF(LEFT(B689,5)="09735",
    IF(ISNA(VLOOKUP(Tabla13[[#This Row],[Apoyo]],'LM SAP'!A:G,1,FALSE)),
        "No Disponible",
        IF(VLOOKUP(Tabla13[[#This Row],[Apoyo]],'LM SAP'!A:AD,9,FALSE)="RR",
            "Disponible",
            "Firmas SAP"
        )
    ),
    "CONSULTAR"
)</f>
        <v>CONSULTAR</v>
      </c>
      <c r="Q689" s="460"/>
      <c r="S689" s="460"/>
      <c r="T689" s="465"/>
      <c r="X689" s="466"/>
    </row>
    <row r="690" spans="1:24" s="464" customFormat="1" ht="15" customHeight="1" x14ac:dyDescent="0.25">
      <c r="A690" s="453"/>
      <c r="B690" s="454"/>
      <c r="C690" s="469"/>
      <c r="D690" s="456"/>
      <c r="E690" s="457"/>
      <c r="F690" s="458"/>
      <c r="G690" s="459"/>
      <c r="H690" s="460"/>
      <c r="I690" s="460"/>
      <c r="J690" s="460"/>
      <c r="K690" s="517"/>
      <c r="L690" s="460"/>
      <c r="M690" s="461"/>
      <c r="N690" s="461"/>
      <c r="O690" s="470"/>
      <c r="P690" s="568" t="str">
        <f>IF(LEFT(B690,5)="09735",
    IF(ISNA(VLOOKUP(Tabla13[[#This Row],[Apoyo]],'LM SAP'!A:G,1,FALSE)),
        "No Disponible",
        IF(VLOOKUP(Tabla13[[#This Row],[Apoyo]],'LM SAP'!A:AD,9,FALSE)="RR",
            "Disponible",
            "Firmas SAP"
        )
    ),
    "CONSULTAR"
)</f>
        <v>CONSULTAR</v>
      </c>
      <c r="Q690" s="460"/>
      <c r="S690" s="460"/>
      <c r="T690" s="465"/>
      <c r="X690" s="466"/>
    </row>
    <row r="691" spans="1:24" s="464" customFormat="1" ht="15" customHeight="1" x14ac:dyDescent="0.25">
      <c r="A691" s="453"/>
      <c r="B691" s="454"/>
      <c r="C691" s="469"/>
      <c r="D691" s="456"/>
      <c r="E691" s="457"/>
      <c r="F691" s="458"/>
      <c r="G691" s="459"/>
      <c r="H691" s="460"/>
      <c r="I691" s="460"/>
      <c r="J691" s="460"/>
      <c r="K691" s="517"/>
      <c r="L691" s="460"/>
      <c r="M691" s="461"/>
      <c r="N691" s="461"/>
      <c r="O691" s="470"/>
      <c r="P691" s="568" t="str">
        <f>IF(LEFT(B691,5)="09735",
    IF(ISNA(VLOOKUP(Tabla13[[#This Row],[Apoyo]],'LM SAP'!A:G,1,FALSE)),
        "No Disponible",
        IF(VLOOKUP(Tabla13[[#This Row],[Apoyo]],'LM SAP'!A:AD,9,FALSE)="RR",
            "Disponible",
            "Firmas SAP"
        )
    ),
    "CONSULTAR"
)</f>
        <v>CONSULTAR</v>
      </c>
      <c r="Q691" s="460"/>
      <c r="S691" s="460"/>
      <c r="T691" s="465"/>
      <c r="X691" s="466"/>
    </row>
    <row r="692" spans="1:24" s="464" customFormat="1" ht="15" customHeight="1" x14ac:dyDescent="0.25">
      <c r="A692" s="453"/>
      <c r="B692" s="454"/>
      <c r="C692" s="469"/>
      <c r="D692" s="456"/>
      <c r="E692" s="457"/>
      <c r="F692" s="458"/>
      <c r="G692" s="459"/>
      <c r="H692" s="460"/>
      <c r="I692" s="460"/>
      <c r="J692" s="460"/>
      <c r="K692" s="517"/>
      <c r="L692" s="460"/>
      <c r="M692" s="461"/>
      <c r="N692" s="461"/>
      <c r="O692" s="470"/>
      <c r="P692" s="568" t="str">
        <f>IF(LEFT(B692,5)="09735",
    IF(ISNA(VLOOKUP(Tabla13[[#This Row],[Apoyo]],'LM SAP'!A:G,1,FALSE)),
        "No Disponible",
        IF(VLOOKUP(Tabla13[[#This Row],[Apoyo]],'LM SAP'!A:AD,9,FALSE)="RR",
            "Disponible",
            "Firmas SAP"
        )
    ),
    "CONSULTAR"
)</f>
        <v>CONSULTAR</v>
      </c>
      <c r="Q692" s="460"/>
      <c r="S692" s="460"/>
      <c r="T692" s="465"/>
      <c r="X692" s="466"/>
    </row>
    <row r="693" spans="1:24" s="464" customFormat="1" ht="15" customHeight="1" x14ac:dyDescent="0.25">
      <c r="A693" s="453"/>
      <c r="B693" s="454"/>
      <c r="C693" s="469"/>
      <c r="D693" s="456"/>
      <c r="E693" s="457"/>
      <c r="F693" s="458"/>
      <c r="G693" s="459"/>
      <c r="H693" s="460"/>
      <c r="I693" s="460"/>
      <c r="J693" s="460"/>
      <c r="K693" s="517"/>
      <c r="L693" s="460"/>
      <c r="M693" s="461"/>
      <c r="N693" s="461"/>
      <c r="O693" s="470"/>
      <c r="P693" s="568" t="str">
        <f>IF(LEFT(B693,5)="09735",
    IF(ISNA(VLOOKUP(Tabla13[[#This Row],[Apoyo]],'LM SAP'!A:G,1,FALSE)),
        "No Disponible",
        IF(VLOOKUP(Tabla13[[#This Row],[Apoyo]],'LM SAP'!A:AD,9,FALSE)="RR",
            "Disponible",
            "Firmas SAP"
        )
    ),
    "CONSULTAR"
)</f>
        <v>CONSULTAR</v>
      </c>
      <c r="Q693" s="460"/>
      <c r="S693" s="460"/>
      <c r="T693" s="465"/>
      <c r="X693" s="466"/>
    </row>
    <row r="694" spans="1:24" s="464" customFormat="1" ht="15" customHeight="1" x14ac:dyDescent="0.25">
      <c r="A694" s="453"/>
      <c r="B694" s="454"/>
      <c r="C694" s="469"/>
      <c r="D694" s="456"/>
      <c r="E694" s="457"/>
      <c r="F694" s="458"/>
      <c r="G694" s="459"/>
      <c r="H694" s="460"/>
      <c r="I694" s="460"/>
      <c r="J694" s="460"/>
      <c r="K694" s="517"/>
      <c r="L694" s="460"/>
      <c r="M694" s="461"/>
      <c r="N694" s="461"/>
      <c r="O694" s="470"/>
      <c r="P694" s="568" t="str">
        <f>IF(LEFT(B694,5)="09735",
    IF(ISNA(VLOOKUP(Tabla13[[#This Row],[Apoyo]],'LM SAP'!A:G,1,FALSE)),
        "No Disponible",
        IF(VLOOKUP(Tabla13[[#This Row],[Apoyo]],'LM SAP'!A:AD,9,FALSE)="RR",
            "Disponible",
            "Firmas SAP"
        )
    ),
    "CONSULTAR"
)</f>
        <v>CONSULTAR</v>
      </c>
      <c r="Q694" s="460"/>
      <c r="S694" s="460"/>
      <c r="T694" s="465"/>
      <c r="X694" s="466"/>
    </row>
    <row r="695" spans="1:24" s="464" customFormat="1" ht="15" customHeight="1" x14ac:dyDescent="0.25">
      <c r="A695" s="453"/>
      <c r="B695" s="454"/>
      <c r="C695" s="469"/>
      <c r="D695" s="456"/>
      <c r="E695" s="457"/>
      <c r="F695" s="458"/>
      <c r="G695" s="459"/>
      <c r="H695" s="460"/>
      <c r="I695" s="460"/>
      <c r="J695" s="460"/>
      <c r="K695" s="517"/>
      <c r="L695" s="460"/>
      <c r="M695" s="461"/>
      <c r="N695" s="461"/>
      <c r="O695" s="470"/>
      <c r="P695" s="568" t="str">
        <f>IF(LEFT(B695,5)="09735",
    IF(ISNA(VLOOKUP(Tabla13[[#This Row],[Apoyo]],'LM SAP'!A:G,1,FALSE)),
        "No Disponible",
        IF(VLOOKUP(Tabla13[[#This Row],[Apoyo]],'LM SAP'!A:AD,9,FALSE)="RR",
            "Disponible",
            "Firmas SAP"
        )
    ),
    "CONSULTAR"
)</f>
        <v>CONSULTAR</v>
      </c>
      <c r="Q695" s="460"/>
      <c r="S695" s="460"/>
      <c r="T695" s="465"/>
      <c r="X695" s="466"/>
    </row>
    <row r="696" spans="1:24" s="464" customFormat="1" ht="15" customHeight="1" x14ac:dyDescent="0.25">
      <c r="A696" s="453"/>
      <c r="B696" s="454"/>
      <c r="C696" s="469"/>
      <c r="D696" s="456"/>
      <c r="E696" s="457"/>
      <c r="F696" s="458"/>
      <c r="G696" s="459"/>
      <c r="H696" s="460"/>
      <c r="I696" s="460"/>
      <c r="J696" s="460"/>
      <c r="K696" s="517"/>
      <c r="L696" s="460"/>
      <c r="M696" s="461"/>
      <c r="N696" s="461"/>
      <c r="O696" s="470"/>
      <c r="P696" s="568" t="str">
        <f>IF(LEFT(B696,5)="09735",
    IF(ISNA(VLOOKUP(Tabla13[[#This Row],[Apoyo]],'LM SAP'!A:G,1,FALSE)),
        "No Disponible",
        IF(VLOOKUP(Tabla13[[#This Row],[Apoyo]],'LM SAP'!A:AD,9,FALSE)="RR",
            "Disponible",
            "Firmas SAP"
        )
    ),
    "CONSULTAR"
)</f>
        <v>CONSULTAR</v>
      </c>
      <c r="Q696" s="460"/>
      <c r="S696" s="460"/>
      <c r="T696" s="465"/>
      <c r="X696" s="466"/>
    </row>
    <row r="697" spans="1:24" s="464" customFormat="1" ht="15" customHeight="1" x14ac:dyDescent="0.25">
      <c r="A697" s="453"/>
      <c r="B697" s="454"/>
      <c r="C697" s="469"/>
      <c r="D697" s="456"/>
      <c r="E697" s="457"/>
      <c r="F697" s="458"/>
      <c r="G697" s="459"/>
      <c r="H697" s="460"/>
      <c r="I697" s="460"/>
      <c r="J697" s="460"/>
      <c r="K697" s="517"/>
      <c r="L697" s="460"/>
      <c r="M697" s="461"/>
      <c r="N697" s="461"/>
      <c r="O697" s="470"/>
      <c r="P697" s="568" t="str">
        <f>IF(LEFT(B697,5)="09735",
    IF(ISNA(VLOOKUP(Tabla13[[#This Row],[Apoyo]],'LM SAP'!A:G,1,FALSE)),
        "No Disponible",
        IF(VLOOKUP(Tabla13[[#This Row],[Apoyo]],'LM SAP'!A:AD,9,FALSE)="RR",
            "Disponible",
            "Firmas SAP"
        )
    ),
    "CONSULTAR"
)</f>
        <v>CONSULTAR</v>
      </c>
      <c r="Q697" s="460"/>
      <c r="S697" s="460"/>
      <c r="T697" s="465"/>
      <c r="X697" s="466"/>
    </row>
    <row r="698" spans="1:24" s="464" customFormat="1" ht="15" customHeight="1" x14ac:dyDescent="0.25">
      <c r="A698" s="453"/>
      <c r="B698" s="454"/>
      <c r="C698" s="469"/>
      <c r="D698" s="456"/>
      <c r="E698" s="457"/>
      <c r="F698" s="458"/>
      <c r="G698" s="459"/>
      <c r="H698" s="460"/>
      <c r="I698" s="460"/>
      <c r="J698" s="460"/>
      <c r="K698" s="517"/>
      <c r="L698" s="460"/>
      <c r="M698" s="461"/>
      <c r="N698" s="461"/>
      <c r="O698" s="470"/>
      <c r="P698" s="568" t="str">
        <f>IF(LEFT(B698,5)="09735",
    IF(ISNA(VLOOKUP(Tabla13[[#This Row],[Apoyo]],'LM SAP'!A:G,1,FALSE)),
        "No Disponible",
        IF(VLOOKUP(Tabla13[[#This Row],[Apoyo]],'LM SAP'!A:AD,9,FALSE)="RR",
            "Disponible",
            "Firmas SAP"
        )
    ),
    "CONSULTAR"
)</f>
        <v>CONSULTAR</v>
      </c>
      <c r="Q698" s="460"/>
      <c r="S698" s="460"/>
      <c r="T698" s="465"/>
      <c r="X698" s="466"/>
    </row>
    <row r="699" spans="1:24" s="464" customFormat="1" ht="15" customHeight="1" x14ac:dyDescent="0.25">
      <c r="A699" s="453"/>
      <c r="B699" s="454"/>
      <c r="C699" s="469"/>
      <c r="D699" s="456"/>
      <c r="E699" s="457"/>
      <c r="F699" s="458"/>
      <c r="G699" s="459"/>
      <c r="H699" s="460"/>
      <c r="I699" s="460"/>
      <c r="J699" s="460"/>
      <c r="K699" s="517"/>
      <c r="L699" s="460"/>
      <c r="M699" s="461"/>
      <c r="N699" s="461"/>
      <c r="O699" s="470"/>
      <c r="P699" s="568" t="str">
        <f>IF(LEFT(B699,5)="09735",
    IF(ISNA(VLOOKUP(Tabla13[[#This Row],[Apoyo]],'LM SAP'!A:G,1,FALSE)),
        "No Disponible",
        IF(VLOOKUP(Tabla13[[#This Row],[Apoyo]],'LM SAP'!A:AD,9,FALSE)="RR",
            "Disponible",
            "Firmas SAP"
        )
    ),
    "CONSULTAR"
)</f>
        <v>CONSULTAR</v>
      </c>
      <c r="Q699" s="460"/>
      <c r="S699" s="460"/>
      <c r="T699" s="465"/>
      <c r="X699" s="466"/>
    </row>
    <row r="700" spans="1:24" s="464" customFormat="1" ht="15" customHeight="1" x14ac:dyDescent="0.25">
      <c r="A700" s="453"/>
      <c r="B700" s="454"/>
      <c r="C700" s="469"/>
      <c r="D700" s="456"/>
      <c r="E700" s="457"/>
      <c r="F700" s="458"/>
      <c r="G700" s="459"/>
      <c r="H700" s="460"/>
      <c r="I700" s="460"/>
      <c r="J700" s="460"/>
      <c r="K700" s="517"/>
      <c r="L700" s="460"/>
      <c r="M700" s="461"/>
      <c r="N700" s="461"/>
      <c r="O700" s="470"/>
      <c r="P700" s="568" t="str">
        <f>IF(LEFT(B700,5)="09735",
    IF(ISNA(VLOOKUP(Tabla13[[#This Row],[Apoyo]],'LM SAP'!A:G,1,FALSE)),
        "No Disponible",
        IF(VLOOKUP(Tabla13[[#This Row],[Apoyo]],'LM SAP'!A:AD,9,FALSE)="RR",
            "Disponible",
            "Firmas SAP"
        )
    ),
    "CONSULTAR"
)</f>
        <v>CONSULTAR</v>
      </c>
      <c r="Q700" s="460"/>
      <c r="S700" s="460"/>
      <c r="T700" s="465"/>
      <c r="X700" s="466"/>
    </row>
    <row r="701" spans="1:24" s="464" customFormat="1" ht="15" customHeight="1" x14ac:dyDescent="0.25">
      <c r="A701" s="453"/>
      <c r="B701" s="454"/>
      <c r="C701" s="469"/>
      <c r="D701" s="456"/>
      <c r="E701" s="457"/>
      <c r="F701" s="458"/>
      <c r="G701" s="459"/>
      <c r="H701" s="460"/>
      <c r="I701" s="460"/>
      <c r="J701" s="460"/>
      <c r="K701" s="517"/>
      <c r="L701" s="460"/>
      <c r="M701" s="461"/>
      <c r="N701" s="461"/>
      <c r="O701" s="470"/>
      <c r="P701" s="568" t="str">
        <f>IF(LEFT(B701,5)="09735",
    IF(ISNA(VLOOKUP(Tabla13[[#This Row],[Apoyo]],'LM SAP'!A:G,1,FALSE)),
        "No Disponible",
        IF(VLOOKUP(Tabla13[[#This Row],[Apoyo]],'LM SAP'!A:AD,9,FALSE)="RR",
            "Disponible",
            "Firmas SAP"
        )
    ),
    "CONSULTAR"
)</f>
        <v>CONSULTAR</v>
      </c>
      <c r="Q701" s="460"/>
      <c r="S701" s="460"/>
      <c r="T701" s="465"/>
      <c r="X701" s="466"/>
    </row>
    <row r="702" spans="1:24" s="464" customFormat="1" ht="15" customHeight="1" x14ac:dyDescent="0.25">
      <c r="A702" s="453"/>
      <c r="B702" s="454"/>
      <c r="C702" s="469"/>
      <c r="D702" s="456"/>
      <c r="E702" s="457"/>
      <c r="F702" s="458"/>
      <c r="G702" s="459"/>
      <c r="H702" s="460"/>
      <c r="I702" s="460"/>
      <c r="J702" s="460"/>
      <c r="K702" s="517"/>
      <c r="L702" s="460"/>
      <c r="M702" s="461"/>
      <c r="N702" s="461"/>
      <c r="O702" s="470"/>
      <c r="P702" s="568" t="str">
        <f>IF(LEFT(B702,5)="09735",
    IF(ISNA(VLOOKUP(Tabla13[[#This Row],[Apoyo]],'LM SAP'!A:G,1,FALSE)),
        "No Disponible",
        IF(VLOOKUP(Tabla13[[#This Row],[Apoyo]],'LM SAP'!A:AD,9,FALSE)="RR",
            "Disponible",
            "Firmas SAP"
        )
    ),
    "CONSULTAR"
)</f>
        <v>CONSULTAR</v>
      </c>
      <c r="Q702" s="460"/>
      <c r="S702" s="460"/>
      <c r="T702" s="465"/>
      <c r="X702" s="466"/>
    </row>
    <row r="703" spans="1:24" s="464" customFormat="1" ht="15" customHeight="1" x14ac:dyDescent="0.25">
      <c r="A703" s="453"/>
      <c r="B703" s="454"/>
      <c r="C703" s="469"/>
      <c r="D703" s="456"/>
      <c r="E703" s="457"/>
      <c r="F703" s="458"/>
      <c r="G703" s="459"/>
      <c r="H703" s="460"/>
      <c r="I703" s="460"/>
      <c r="J703" s="460"/>
      <c r="K703" s="517"/>
      <c r="L703" s="460"/>
      <c r="M703" s="461"/>
      <c r="N703" s="461"/>
      <c r="O703" s="470"/>
      <c r="P703" s="568" t="str">
        <f>IF(LEFT(B703,5)="09735",
    IF(ISNA(VLOOKUP(Tabla13[[#This Row],[Apoyo]],'LM SAP'!A:G,1,FALSE)),
        "No Disponible",
        IF(VLOOKUP(Tabla13[[#This Row],[Apoyo]],'LM SAP'!A:AD,9,FALSE)="RR",
            "Disponible",
            "Firmas SAP"
        )
    ),
    "CONSULTAR"
)</f>
        <v>CONSULTAR</v>
      </c>
      <c r="Q703" s="460"/>
      <c r="S703" s="460"/>
      <c r="T703" s="465"/>
      <c r="X703" s="466"/>
    </row>
    <row r="704" spans="1:24" s="464" customFormat="1" ht="15" customHeight="1" x14ac:dyDescent="0.25">
      <c r="A704" s="453"/>
      <c r="B704" s="454"/>
      <c r="C704" s="469"/>
      <c r="D704" s="456"/>
      <c r="E704" s="457"/>
      <c r="F704" s="458"/>
      <c r="G704" s="459"/>
      <c r="H704" s="460"/>
      <c r="I704" s="460"/>
      <c r="J704" s="460"/>
      <c r="K704" s="517"/>
      <c r="L704" s="460"/>
      <c r="M704" s="461"/>
      <c r="N704" s="461"/>
      <c r="O704" s="470"/>
      <c r="P704" s="568" t="str">
        <f>IF(LEFT(B704,5)="09735",
    IF(ISNA(VLOOKUP(Tabla13[[#This Row],[Apoyo]],'LM SAP'!A:G,1,FALSE)),
        "No Disponible",
        IF(VLOOKUP(Tabla13[[#This Row],[Apoyo]],'LM SAP'!A:AD,9,FALSE)="RR",
            "Disponible",
            "Firmas SAP"
        )
    ),
    "CONSULTAR"
)</f>
        <v>CONSULTAR</v>
      </c>
      <c r="Q704" s="460"/>
      <c r="S704" s="460"/>
      <c r="T704" s="465"/>
      <c r="X704" s="466"/>
    </row>
    <row r="705" spans="1:24" s="464" customFormat="1" ht="15" customHeight="1" x14ac:dyDescent="0.25">
      <c r="A705" s="453"/>
      <c r="B705" s="454"/>
      <c r="C705" s="469"/>
      <c r="D705" s="456"/>
      <c r="E705" s="457"/>
      <c r="F705" s="458"/>
      <c r="G705" s="459"/>
      <c r="H705" s="460"/>
      <c r="I705" s="460"/>
      <c r="J705" s="460"/>
      <c r="K705" s="517"/>
      <c r="L705" s="460"/>
      <c r="M705" s="461"/>
      <c r="N705" s="461"/>
      <c r="O705" s="470"/>
      <c r="P705" s="568" t="str">
        <f>IF(LEFT(B705,5)="09735",
    IF(ISNA(VLOOKUP(Tabla13[[#This Row],[Apoyo]],'LM SAP'!A:G,1,FALSE)),
        "No Disponible",
        IF(VLOOKUP(Tabla13[[#This Row],[Apoyo]],'LM SAP'!A:AD,9,FALSE)="RR",
            "Disponible",
            "Firmas SAP"
        )
    ),
    "CONSULTAR"
)</f>
        <v>CONSULTAR</v>
      </c>
      <c r="Q705" s="460"/>
      <c r="S705" s="460"/>
      <c r="T705" s="465"/>
      <c r="X705" s="466"/>
    </row>
    <row r="706" spans="1:24" s="464" customFormat="1" ht="15" customHeight="1" x14ac:dyDescent="0.25">
      <c r="A706" s="453"/>
      <c r="B706" s="454"/>
      <c r="C706" s="469"/>
      <c r="D706" s="456"/>
      <c r="E706" s="457"/>
      <c r="F706" s="458"/>
      <c r="G706" s="459"/>
      <c r="H706" s="460"/>
      <c r="I706" s="460"/>
      <c r="J706" s="460"/>
      <c r="K706" s="517"/>
      <c r="L706" s="460"/>
      <c r="M706" s="461"/>
      <c r="N706" s="461"/>
      <c r="O706" s="470"/>
      <c r="P706" s="568" t="str">
        <f>IF(LEFT(B706,5)="09735",
    IF(ISNA(VLOOKUP(Tabla13[[#This Row],[Apoyo]],'LM SAP'!A:G,1,FALSE)),
        "No Disponible",
        IF(VLOOKUP(Tabla13[[#This Row],[Apoyo]],'LM SAP'!A:AD,9,FALSE)="RR",
            "Disponible",
            "Firmas SAP"
        )
    ),
    "CONSULTAR"
)</f>
        <v>CONSULTAR</v>
      </c>
      <c r="Q706" s="460"/>
      <c r="S706" s="460"/>
      <c r="T706" s="465"/>
      <c r="X706" s="466"/>
    </row>
    <row r="707" spans="1:24" s="464" customFormat="1" ht="15" customHeight="1" x14ac:dyDescent="0.25">
      <c r="A707" s="453"/>
      <c r="B707" s="454"/>
      <c r="C707" s="469"/>
      <c r="D707" s="456"/>
      <c r="E707" s="457"/>
      <c r="F707" s="458"/>
      <c r="G707" s="459"/>
      <c r="H707" s="460"/>
      <c r="I707" s="460"/>
      <c r="J707" s="460"/>
      <c r="K707" s="517"/>
      <c r="L707" s="460"/>
      <c r="M707" s="461"/>
      <c r="N707" s="461"/>
      <c r="O707" s="470"/>
      <c r="P707" s="568" t="str">
        <f>IF(LEFT(B707,5)="09735",
    IF(ISNA(VLOOKUP(Tabla13[[#This Row],[Apoyo]],'LM SAP'!A:G,1,FALSE)),
        "No Disponible",
        IF(VLOOKUP(Tabla13[[#This Row],[Apoyo]],'LM SAP'!A:AD,9,FALSE)="RR",
            "Disponible",
            "Firmas SAP"
        )
    ),
    "CONSULTAR"
)</f>
        <v>CONSULTAR</v>
      </c>
      <c r="Q707" s="460"/>
      <c r="S707" s="460"/>
      <c r="T707" s="465"/>
      <c r="X707" s="466"/>
    </row>
    <row r="708" spans="1:24" s="464" customFormat="1" ht="15" customHeight="1" x14ac:dyDescent="0.25">
      <c r="A708" s="453"/>
      <c r="B708" s="454"/>
      <c r="C708" s="469"/>
      <c r="D708" s="456"/>
      <c r="E708" s="457"/>
      <c r="F708" s="458"/>
      <c r="G708" s="459"/>
      <c r="H708" s="460"/>
      <c r="I708" s="460"/>
      <c r="J708" s="460"/>
      <c r="K708" s="517"/>
      <c r="L708" s="460"/>
      <c r="M708" s="461"/>
      <c r="N708" s="461"/>
      <c r="O708" s="470"/>
      <c r="P708" s="568" t="str">
        <f>IF(LEFT(B708,5)="09735",
    IF(ISNA(VLOOKUP(Tabla13[[#This Row],[Apoyo]],'LM SAP'!A:G,1,FALSE)),
        "No Disponible",
        IF(VLOOKUP(Tabla13[[#This Row],[Apoyo]],'LM SAP'!A:AD,9,FALSE)="RR",
            "Disponible",
            "Firmas SAP"
        )
    ),
    "CONSULTAR"
)</f>
        <v>CONSULTAR</v>
      </c>
      <c r="Q708" s="460"/>
      <c r="S708" s="460"/>
      <c r="T708" s="465"/>
      <c r="X708" s="466"/>
    </row>
    <row r="709" spans="1:24" s="464" customFormat="1" ht="15" customHeight="1" x14ac:dyDescent="0.25">
      <c r="A709" s="453"/>
      <c r="B709" s="454"/>
      <c r="C709" s="469"/>
      <c r="D709" s="456"/>
      <c r="E709" s="457"/>
      <c r="F709" s="458"/>
      <c r="G709" s="459"/>
      <c r="H709" s="460"/>
      <c r="I709" s="460"/>
      <c r="J709" s="460"/>
      <c r="K709" s="517"/>
      <c r="L709" s="460"/>
      <c r="M709" s="461"/>
      <c r="N709" s="461"/>
      <c r="O709" s="470"/>
      <c r="P709" s="568" t="str">
        <f>IF(LEFT(B709,5)="09735",
    IF(ISNA(VLOOKUP(Tabla13[[#This Row],[Apoyo]],'LM SAP'!A:G,1,FALSE)),
        "No Disponible",
        IF(VLOOKUP(Tabla13[[#This Row],[Apoyo]],'LM SAP'!A:AD,9,FALSE)="RR",
            "Disponible",
            "Firmas SAP"
        )
    ),
    "CONSULTAR"
)</f>
        <v>CONSULTAR</v>
      </c>
      <c r="Q709" s="460"/>
      <c r="S709" s="460"/>
      <c r="T709" s="465"/>
      <c r="X709" s="466"/>
    </row>
    <row r="710" spans="1:24" s="464" customFormat="1" ht="15" customHeight="1" x14ac:dyDescent="0.25">
      <c r="A710" s="453"/>
      <c r="B710" s="454"/>
      <c r="C710" s="469"/>
      <c r="D710" s="456"/>
      <c r="E710" s="457"/>
      <c r="F710" s="458"/>
      <c r="G710" s="459"/>
      <c r="H710" s="460"/>
      <c r="I710" s="460"/>
      <c r="J710" s="460"/>
      <c r="K710" s="517"/>
      <c r="L710" s="460"/>
      <c r="M710" s="461"/>
      <c r="N710" s="461"/>
      <c r="O710" s="470"/>
      <c r="P710" s="568" t="str">
        <f>IF(LEFT(B710,5)="09735",
    IF(ISNA(VLOOKUP(Tabla13[[#This Row],[Apoyo]],'LM SAP'!A:G,1,FALSE)),
        "No Disponible",
        IF(VLOOKUP(Tabla13[[#This Row],[Apoyo]],'LM SAP'!A:AD,9,FALSE)="RR",
            "Disponible",
            "Firmas SAP"
        )
    ),
    "CONSULTAR"
)</f>
        <v>CONSULTAR</v>
      </c>
      <c r="Q710" s="460"/>
      <c r="S710" s="460"/>
      <c r="T710" s="465"/>
      <c r="X710" s="466"/>
    </row>
    <row r="711" spans="1:24" s="464" customFormat="1" ht="15" customHeight="1" x14ac:dyDescent="0.25">
      <c r="A711" s="453"/>
      <c r="B711" s="454"/>
      <c r="C711" s="469"/>
      <c r="D711" s="456"/>
      <c r="E711" s="457"/>
      <c r="F711" s="458"/>
      <c r="G711" s="459"/>
      <c r="H711" s="460"/>
      <c r="I711" s="460"/>
      <c r="J711" s="460"/>
      <c r="K711" s="517"/>
      <c r="L711" s="460"/>
      <c r="M711" s="461"/>
      <c r="N711" s="461"/>
      <c r="O711" s="470"/>
      <c r="P711" s="568" t="str">
        <f>IF(LEFT(B711,5)="09735",
    IF(ISNA(VLOOKUP(Tabla13[[#This Row],[Apoyo]],'LM SAP'!A:G,1,FALSE)),
        "No Disponible",
        IF(VLOOKUP(Tabla13[[#This Row],[Apoyo]],'LM SAP'!A:AD,9,FALSE)="RR",
            "Disponible",
            "Firmas SAP"
        )
    ),
    "CONSULTAR"
)</f>
        <v>CONSULTAR</v>
      </c>
      <c r="Q711" s="460"/>
      <c r="S711" s="460"/>
      <c r="T711" s="465"/>
      <c r="X711" s="466"/>
    </row>
    <row r="712" spans="1:24" s="464" customFormat="1" ht="15" customHeight="1" x14ac:dyDescent="0.25">
      <c r="A712" s="453"/>
      <c r="B712" s="454"/>
      <c r="C712" s="469"/>
      <c r="D712" s="456"/>
      <c r="E712" s="457"/>
      <c r="F712" s="458"/>
      <c r="G712" s="459"/>
      <c r="H712" s="460"/>
      <c r="I712" s="460"/>
      <c r="J712" s="460"/>
      <c r="K712" s="517"/>
      <c r="L712" s="460"/>
      <c r="M712" s="461"/>
      <c r="N712" s="461"/>
      <c r="O712" s="470"/>
      <c r="P712" s="568" t="str">
        <f>IF(LEFT(B712,5)="09735",
    IF(ISNA(VLOOKUP(Tabla13[[#This Row],[Apoyo]],'LM SAP'!A:G,1,FALSE)),
        "No Disponible",
        IF(VLOOKUP(Tabla13[[#This Row],[Apoyo]],'LM SAP'!A:AD,9,FALSE)="RR",
            "Disponible",
            "Firmas SAP"
        )
    ),
    "CONSULTAR"
)</f>
        <v>CONSULTAR</v>
      </c>
      <c r="Q712" s="460"/>
      <c r="S712" s="460"/>
      <c r="T712" s="465"/>
      <c r="X712" s="466"/>
    </row>
    <row r="713" spans="1:24" s="464" customFormat="1" ht="15" customHeight="1" x14ac:dyDescent="0.25">
      <c r="A713" s="453"/>
      <c r="B713" s="454"/>
      <c r="C713" s="469"/>
      <c r="D713" s="456"/>
      <c r="E713" s="457"/>
      <c r="F713" s="458"/>
      <c r="G713" s="459"/>
      <c r="H713" s="460"/>
      <c r="I713" s="460"/>
      <c r="J713" s="460"/>
      <c r="K713" s="517"/>
      <c r="L713" s="460"/>
      <c r="M713" s="461"/>
      <c r="N713" s="461"/>
      <c r="O713" s="470"/>
      <c r="P713" s="568" t="str">
        <f>IF(LEFT(B713,5)="09735",
    IF(ISNA(VLOOKUP(Tabla13[[#This Row],[Apoyo]],'LM SAP'!A:G,1,FALSE)),
        "No Disponible",
        IF(VLOOKUP(Tabla13[[#This Row],[Apoyo]],'LM SAP'!A:AD,9,FALSE)="RR",
            "Disponible",
            "Firmas SAP"
        )
    ),
    "CONSULTAR"
)</f>
        <v>CONSULTAR</v>
      </c>
      <c r="Q713" s="460"/>
      <c r="S713" s="460"/>
      <c r="T713" s="465"/>
      <c r="X713" s="466"/>
    </row>
    <row r="714" spans="1:24" s="464" customFormat="1" ht="15" customHeight="1" x14ac:dyDescent="0.25">
      <c r="A714" s="453"/>
      <c r="B714" s="454"/>
      <c r="C714" s="469"/>
      <c r="D714" s="456"/>
      <c r="E714" s="457"/>
      <c r="F714" s="458"/>
      <c r="G714" s="459"/>
      <c r="H714" s="460"/>
      <c r="I714" s="460"/>
      <c r="J714" s="460"/>
      <c r="K714" s="517"/>
      <c r="L714" s="460"/>
      <c r="M714" s="461"/>
      <c r="N714" s="461"/>
      <c r="O714" s="470"/>
      <c r="P714" s="568" t="str">
        <f>IF(LEFT(B714,5)="09735",
    IF(ISNA(VLOOKUP(Tabla13[[#This Row],[Apoyo]],'LM SAP'!A:G,1,FALSE)),
        "No Disponible",
        IF(VLOOKUP(Tabla13[[#This Row],[Apoyo]],'LM SAP'!A:AD,9,FALSE)="RR",
            "Disponible",
            "Firmas SAP"
        )
    ),
    "CONSULTAR"
)</f>
        <v>CONSULTAR</v>
      </c>
      <c r="Q714" s="460"/>
      <c r="S714" s="460"/>
      <c r="T714" s="465"/>
      <c r="X714" s="466"/>
    </row>
    <row r="715" spans="1:24" s="464" customFormat="1" ht="15" customHeight="1" x14ac:dyDescent="0.25">
      <c r="A715" s="453"/>
      <c r="B715" s="454"/>
      <c r="C715" s="469"/>
      <c r="D715" s="456"/>
      <c r="E715" s="457"/>
      <c r="F715" s="458"/>
      <c r="G715" s="459"/>
      <c r="H715" s="460"/>
      <c r="I715" s="460"/>
      <c r="J715" s="460"/>
      <c r="K715" s="517"/>
      <c r="L715" s="460"/>
      <c r="M715" s="461"/>
      <c r="N715" s="461"/>
      <c r="O715" s="470"/>
      <c r="P715" s="568" t="str">
        <f>IF(LEFT(B715,5)="09735",
    IF(ISNA(VLOOKUP(Tabla13[[#This Row],[Apoyo]],'LM SAP'!A:G,1,FALSE)),
        "No Disponible",
        IF(VLOOKUP(Tabla13[[#This Row],[Apoyo]],'LM SAP'!A:AD,9,FALSE)="RR",
            "Disponible",
            "Firmas SAP"
        )
    ),
    "CONSULTAR"
)</f>
        <v>CONSULTAR</v>
      </c>
      <c r="Q715" s="460"/>
      <c r="S715" s="460"/>
      <c r="T715" s="465"/>
      <c r="X715" s="466"/>
    </row>
    <row r="716" spans="1:24" s="464" customFormat="1" ht="15" customHeight="1" x14ac:dyDescent="0.25">
      <c r="A716" s="453"/>
      <c r="B716" s="454"/>
      <c r="C716" s="469"/>
      <c r="D716" s="456"/>
      <c r="E716" s="457"/>
      <c r="F716" s="458"/>
      <c r="G716" s="459"/>
      <c r="H716" s="460"/>
      <c r="I716" s="460"/>
      <c r="J716" s="460"/>
      <c r="K716" s="517"/>
      <c r="L716" s="460"/>
      <c r="M716" s="461"/>
      <c r="N716" s="461"/>
      <c r="O716" s="470"/>
      <c r="P716" s="568" t="str">
        <f>IF(LEFT(B716,5)="09735",
    IF(ISNA(VLOOKUP(Tabla13[[#This Row],[Apoyo]],'LM SAP'!A:G,1,FALSE)),
        "No Disponible",
        IF(VLOOKUP(Tabla13[[#This Row],[Apoyo]],'LM SAP'!A:AD,9,FALSE)="RR",
            "Disponible",
            "Firmas SAP"
        )
    ),
    "CONSULTAR"
)</f>
        <v>CONSULTAR</v>
      </c>
      <c r="Q716" s="460"/>
      <c r="S716" s="460"/>
      <c r="T716" s="465"/>
      <c r="X716" s="466"/>
    </row>
    <row r="717" spans="1:24" s="464" customFormat="1" ht="15" customHeight="1" x14ac:dyDescent="0.25">
      <c r="A717" s="453"/>
      <c r="B717" s="454"/>
      <c r="C717" s="469"/>
      <c r="D717" s="456"/>
      <c r="E717" s="457"/>
      <c r="F717" s="458"/>
      <c r="G717" s="459"/>
      <c r="H717" s="460"/>
      <c r="I717" s="460"/>
      <c r="J717" s="460"/>
      <c r="K717" s="517"/>
      <c r="L717" s="460"/>
      <c r="M717" s="461"/>
      <c r="N717" s="461"/>
      <c r="O717" s="470"/>
      <c r="P717" s="568" t="str">
        <f>IF(LEFT(B717,5)="09735",
    IF(ISNA(VLOOKUP(Tabla13[[#This Row],[Apoyo]],'LM SAP'!A:G,1,FALSE)),
        "No Disponible",
        IF(VLOOKUP(Tabla13[[#This Row],[Apoyo]],'LM SAP'!A:AD,9,FALSE)="RR",
            "Disponible",
            "Firmas SAP"
        )
    ),
    "CONSULTAR"
)</f>
        <v>CONSULTAR</v>
      </c>
      <c r="Q717" s="460"/>
      <c r="S717" s="460"/>
      <c r="T717" s="465"/>
      <c r="X717" s="466"/>
    </row>
    <row r="718" spans="1:24" s="464" customFormat="1" ht="15" customHeight="1" x14ac:dyDescent="0.25">
      <c r="A718" s="453"/>
      <c r="B718" s="454"/>
      <c r="C718" s="469"/>
      <c r="D718" s="456"/>
      <c r="E718" s="457"/>
      <c r="F718" s="458"/>
      <c r="G718" s="459"/>
      <c r="H718" s="460"/>
      <c r="I718" s="460"/>
      <c r="J718" s="460"/>
      <c r="K718" s="517"/>
      <c r="L718" s="460"/>
      <c r="M718" s="461"/>
      <c r="N718" s="461"/>
      <c r="O718" s="470"/>
      <c r="P718" s="568" t="str">
        <f>IF(LEFT(B718,5)="09735",
    IF(ISNA(VLOOKUP(Tabla13[[#This Row],[Apoyo]],'LM SAP'!A:G,1,FALSE)),
        "No Disponible",
        IF(VLOOKUP(Tabla13[[#This Row],[Apoyo]],'LM SAP'!A:AD,9,FALSE)="RR",
            "Disponible",
            "Firmas SAP"
        )
    ),
    "CONSULTAR"
)</f>
        <v>CONSULTAR</v>
      </c>
      <c r="Q718" s="460"/>
      <c r="S718" s="460"/>
      <c r="T718" s="465"/>
      <c r="X718" s="466"/>
    </row>
    <row r="719" spans="1:24" s="464" customFormat="1" ht="15" customHeight="1" x14ac:dyDescent="0.25">
      <c r="A719" s="453"/>
      <c r="B719" s="454"/>
      <c r="C719" s="469"/>
      <c r="D719" s="456"/>
      <c r="E719" s="457"/>
      <c r="F719" s="458"/>
      <c r="G719" s="459"/>
      <c r="H719" s="460"/>
      <c r="I719" s="460"/>
      <c r="J719" s="460"/>
      <c r="K719" s="517"/>
      <c r="L719" s="460"/>
      <c r="M719" s="461"/>
      <c r="N719" s="461"/>
      <c r="O719" s="470"/>
      <c r="P719" s="568" t="str">
        <f>IF(LEFT(B719,5)="09735",
    IF(ISNA(VLOOKUP(Tabla13[[#This Row],[Apoyo]],'LM SAP'!A:G,1,FALSE)),
        "No Disponible",
        IF(VLOOKUP(Tabla13[[#This Row],[Apoyo]],'LM SAP'!A:AD,9,FALSE)="RR",
            "Disponible",
            "Firmas SAP"
        )
    ),
    "CONSULTAR"
)</f>
        <v>CONSULTAR</v>
      </c>
      <c r="Q719" s="460"/>
      <c r="S719" s="460"/>
      <c r="T719" s="465"/>
      <c r="X719" s="466"/>
    </row>
    <row r="720" spans="1:24" s="464" customFormat="1" ht="15" customHeight="1" x14ac:dyDescent="0.25">
      <c r="A720" s="453"/>
      <c r="B720" s="454"/>
      <c r="C720" s="469"/>
      <c r="D720" s="456"/>
      <c r="E720" s="457"/>
      <c r="F720" s="458"/>
      <c r="G720" s="459"/>
      <c r="H720" s="460"/>
      <c r="I720" s="460"/>
      <c r="J720" s="460"/>
      <c r="K720" s="517"/>
      <c r="L720" s="460"/>
      <c r="M720" s="461"/>
      <c r="N720" s="461"/>
      <c r="O720" s="470"/>
      <c r="P720" s="568" t="str">
        <f>IF(LEFT(B720,5)="09735",
    IF(ISNA(VLOOKUP(Tabla13[[#This Row],[Apoyo]],'LM SAP'!A:G,1,FALSE)),
        "No Disponible",
        IF(VLOOKUP(Tabla13[[#This Row],[Apoyo]],'LM SAP'!A:AD,9,FALSE)="RR",
            "Disponible",
            "Firmas SAP"
        )
    ),
    "CONSULTAR"
)</f>
        <v>CONSULTAR</v>
      </c>
      <c r="Q720" s="460"/>
      <c r="S720" s="460"/>
      <c r="T720" s="465"/>
      <c r="X720" s="466"/>
    </row>
    <row r="721" spans="1:24" s="464" customFormat="1" ht="15" customHeight="1" x14ac:dyDescent="0.25">
      <c r="A721" s="453"/>
      <c r="B721" s="454"/>
      <c r="C721" s="469"/>
      <c r="D721" s="456"/>
      <c r="E721" s="457"/>
      <c r="F721" s="458"/>
      <c r="G721" s="459"/>
      <c r="H721" s="460"/>
      <c r="I721" s="460"/>
      <c r="J721" s="460"/>
      <c r="K721" s="517"/>
      <c r="L721" s="460"/>
      <c r="M721" s="461"/>
      <c r="N721" s="461"/>
      <c r="O721" s="470"/>
      <c r="P721" s="568" t="str">
        <f>IF(LEFT(B721,5)="09735",
    IF(ISNA(VLOOKUP(Tabla13[[#This Row],[Apoyo]],'LM SAP'!A:G,1,FALSE)),
        "No Disponible",
        IF(VLOOKUP(Tabla13[[#This Row],[Apoyo]],'LM SAP'!A:AD,9,FALSE)="RR",
            "Disponible",
            "Firmas SAP"
        )
    ),
    "CONSULTAR"
)</f>
        <v>CONSULTAR</v>
      </c>
      <c r="Q721" s="460"/>
      <c r="S721" s="460"/>
      <c r="T721" s="465"/>
      <c r="X721" s="466"/>
    </row>
    <row r="722" spans="1:24" s="464" customFormat="1" ht="15" customHeight="1" x14ac:dyDescent="0.25">
      <c r="A722" s="453"/>
      <c r="B722" s="454"/>
      <c r="C722" s="469"/>
      <c r="D722" s="456"/>
      <c r="E722" s="457"/>
      <c r="F722" s="458"/>
      <c r="G722" s="459"/>
      <c r="H722" s="460"/>
      <c r="I722" s="460"/>
      <c r="J722" s="460"/>
      <c r="K722" s="517"/>
      <c r="L722" s="460"/>
      <c r="M722" s="461"/>
      <c r="N722" s="461"/>
      <c r="O722" s="470"/>
      <c r="P722" s="568" t="str">
        <f>IF(LEFT(B722,5)="09735",
    IF(ISNA(VLOOKUP(Tabla13[[#This Row],[Apoyo]],'LM SAP'!A:G,1,FALSE)),
        "No Disponible",
        IF(VLOOKUP(Tabla13[[#This Row],[Apoyo]],'LM SAP'!A:AD,9,FALSE)="RR",
            "Disponible",
            "Firmas SAP"
        )
    ),
    "CONSULTAR"
)</f>
        <v>CONSULTAR</v>
      </c>
      <c r="Q722" s="460"/>
      <c r="S722" s="460"/>
      <c r="T722" s="465"/>
      <c r="X722" s="466"/>
    </row>
    <row r="723" spans="1:24" s="464" customFormat="1" ht="15" customHeight="1" x14ac:dyDescent="0.25">
      <c r="A723" s="453"/>
      <c r="B723" s="454"/>
      <c r="C723" s="469"/>
      <c r="D723" s="456"/>
      <c r="E723" s="457"/>
      <c r="F723" s="458"/>
      <c r="G723" s="459"/>
      <c r="H723" s="460"/>
      <c r="I723" s="460"/>
      <c r="J723" s="460"/>
      <c r="K723" s="517"/>
      <c r="L723" s="460"/>
      <c r="M723" s="461"/>
      <c r="N723" s="461"/>
      <c r="O723" s="470"/>
      <c r="P723" s="568" t="str">
        <f>IF(LEFT(B723,5)="09735",
    IF(ISNA(VLOOKUP(Tabla13[[#This Row],[Apoyo]],'LM SAP'!A:G,1,FALSE)),
        "No Disponible",
        IF(VLOOKUP(Tabla13[[#This Row],[Apoyo]],'LM SAP'!A:AD,9,FALSE)="RR",
            "Disponible",
            "Firmas SAP"
        )
    ),
    "CONSULTAR"
)</f>
        <v>CONSULTAR</v>
      </c>
      <c r="Q723" s="460"/>
      <c r="S723" s="460"/>
      <c r="T723" s="465"/>
      <c r="X723" s="466"/>
    </row>
    <row r="724" spans="1:24" s="464" customFormat="1" ht="15" customHeight="1" x14ac:dyDescent="0.25">
      <c r="A724" s="453"/>
      <c r="B724" s="454"/>
      <c r="C724" s="469"/>
      <c r="D724" s="456"/>
      <c r="E724" s="457"/>
      <c r="F724" s="458"/>
      <c r="G724" s="459"/>
      <c r="H724" s="460"/>
      <c r="I724" s="460"/>
      <c r="J724" s="460"/>
      <c r="K724" s="517"/>
      <c r="L724" s="460"/>
      <c r="M724" s="461"/>
      <c r="N724" s="461"/>
      <c r="O724" s="470"/>
      <c r="P724" s="568" t="str">
        <f>IF(LEFT(B724,5)="09735",
    IF(ISNA(VLOOKUP(Tabla13[[#This Row],[Apoyo]],'LM SAP'!A:G,1,FALSE)),
        "No Disponible",
        IF(VLOOKUP(Tabla13[[#This Row],[Apoyo]],'LM SAP'!A:AD,9,FALSE)="RR",
            "Disponible",
            "Firmas SAP"
        )
    ),
    "CONSULTAR"
)</f>
        <v>CONSULTAR</v>
      </c>
      <c r="Q724" s="460"/>
      <c r="S724" s="460"/>
      <c r="T724" s="465"/>
      <c r="X724" s="466"/>
    </row>
    <row r="725" spans="1:24" s="464" customFormat="1" ht="15" customHeight="1" x14ac:dyDescent="0.25">
      <c r="A725" s="453"/>
      <c r="B725" s="454"/>
      <c r="C725" s="469"/>
      <c r="D725" s="456"/>
      <c r="E725" s="457"/>
      <c r="F725" s="458"/>
      <c r="G725" s="459"/>
      <c r="H725" s="460"/>
      <c r="I725" s="460"/>
      <c r="J725" s="460"/>
      <c r="K725" s="517"/>
      <c r="L725" s="460"/>
      <c r="M725" s="461"/>
      <c r="N725" s="461"/>
      <c r="O725" s="470"/>
      <c r="P725" s="568" t="str">
        <f>IF(LEFT(B725,5)="09735",
    IF(ISNA(VLOOKUP(Tabla13[[#This Row],[Apoyo]],'LM SAP'!A:G,1,FALSE)),
        "No Disponible",
        IF(VLOOKUP(Tabla13[[#This Row],[Apoyo]],'LM SAP'!A:AD,9,FALSE)="RR",
            "Disponible",
            "Firmas SAP"
        )
    ),
    "CONSULTAR"
)</f>
        <v>CONSULTAR</v>
      </c>
      <c r="Q725" s="460"/>
      <c r="S725" s="460"/>
      <c r="T725" s="465"/>
      <c r="X725" s="466"/>
    </row>
    <row r="726" spans="1:24" s="464" customFormat="1" ht="15" customHeight="1" x14ac:dyDescent="0.25">
      <c r="A726" s="453"/>
      <c r="B726" s="454"/>
      <c r="C726" s="469"/>
      <c r="D726" s="456"/>
      <c r="E726" s="457"/>
      <c r="F726" s="458"/>
      <c r="G726" s="459"/>
      <c r="H726" s="460"/>
      <c r="I726" s="460"/>
      <c r="J726" s="460"/>
      <c r="K726" s="517"/>
      <c r="L726" s="460"/>
      <c r="M726" s="461"/>
      <c r="N726" s="461"/>
      <c r="O726" s="470"/>
      <c r="P726" s="568" t="str">
        <f>IF(LEFT(B726,5)="09735",
    IF(ISNA(VLOOKUP(Tabla13[[#This Row],[Apoyo]],'LM SAP'!A:G,1,FALSE)),
        "No Disponible",
        IF(VLOOKUP(Tabla13[[#This Row],[Apoyo]],'LM SAP'!A:AD,9,FALSE)="RR",
            "Disponible",
            "Firmas SAP"
        )
    ),
    "CONSULTAR"
)</f>
        <v>CONSULTAR</v>
      </c>
      <c r="Q726" s="460"/>
      <c r="S726" s="460"/>
      <c r="T726" s="465"/>
      <c r="X726" s="466"/>
    </row>
    <row r="727" spans="1:24" s="464" customFormat="1" ht="15" customHeight="1" x14ac:dyDescent="0.25">
      <c r="A727" s="453"/>
      <c r="B727" s="454"/>
      <c r="C727" s="469"/>
      <c r="D727" s="456"/>
      <c r="E727" s="457"/>
      <c r="F727" s="458"/>
      <c r="G727" s="459"/>
      <c r="H727" s="460"/>
      <c r="I727" s="460"/>
      <c r="J727" s="460"/>
      <c r="K727" s="517"/>
      <c r="L727" s="460"/>
      <c r="M727" s="461"/>
      <c r="N727" s="461"/>
      <c r="O727" s="470"/>
      <c r="P727" s="568" t="str">
        <f>IF(LEFT(B727,5)="09735",
    IF(ISNA(VLOOKUP(Tabla13[[#This Row],[Apoyo]],'LM SAP'!A:G,1,FALSE)),
        "No Disponible",
        IF(VLOOKUP(Tabla13[[#This Row],[Apoyo]],'LM SAP'!A:AD,9,FALSE)="RR",
            "Disponible",
            "Firmas SAP"
        )
    ),
    "CONSULTAR"
)</f>
        <v>CONSULTAR</v>
      </c>
      <c r="Q727" s="460"/>
      <c r="S727" s="460"/>
      <c r="T727" s="465"/>
      <c r="X727" s="466"/>
    </row>
    <row r="728" spans="1:24" s="464" customFormat="1" ht="15" customHeight="1" x14ac:dyDescent="0.25">
      <c r="A728" s="453"/>
      <c r="B728" s="454"/>
      <c r="C728" s="469"/>
      <c r="D728" s="456"/>
      <c r="E728" s="457"/>
      <c r="F728" s="458"/>
      <c r="G728" s="459"/>
      <c r="H728" s="460"/>
      <c r="I728" s="460"/>
      <c r="J728" s="460"/>
      <c r="K728" s="517"/>
      <c r="L728" s="460"/>
      <c r="M728" s="461"/>
      <c r="N728" s="461"/>
      <c r="O728" s="470"/>
      <c r="P728" s="568" t="str">
        <f>IF(LEFT(B728,5)="09735",
    IF(ISNA(VLOOKUP(Tabla13[[#This Row],[Apoyo]],'LM SAP'!A:G,1,FALSE)),
        "No Disponible",
        IF(VLOOKUP(Tabla13[[#This Row],[Apoyo]],'LM SAP'!A:AD,9,FALSE)="RR",
            "Disponible",
            "Firmas SAP"
        )
    ),
    "CONSULTAR"
)</f>
        <v>CONSULTAR</v>
      </c>
      <c r="Q728" s="460"/>
      <c r="S728" s="460"/>
      <c r="T728" s="465"/>
      <c r="X728" s="466"/>
    </row>
    <row r="729" spans="1:24" s="464" customFormat="1" ht="15" customHeight="1" x14ac:dyDescent="0.25">
      <c r="A729" s="453"/>
      <c r="B729" s="454"/>
      <c r="C729" s="469"/>
      <c r="D729" s="456"/>
      <c r="E729" s="457"/>
      <c r="F729" s="458"/>
      <c r="G729" s="459"/>
      <c r="H729" s="460"/>
      <c r="I729" s="460"/>
      <c r="J729" s="460"/>
      <c r="K729" s="517"/>
      <c r="L729" s="460"/>
      <c r="M729" s="461"/>
      <c r="N729" s="461"/>
      <c r="O729" s="470"/>
      <c r="P729" s="568" t="str">
        <f>IF(LEFT(B729,5)="09735",
    IF(ISNA(VLOOKUP(Tabla13[[#This Row],[Apoyo]],'LM SAP'!A:G,1,FALSE)),
        "No Disponible",
        IF(VLOOKUP(Tabla13[[#This Row],[Apoyo]],'LM SAP'!A:AD,9,FALSE)="RR",
            "Disponible",
            "Firmas SAP"
        )
    ),
    "CONSULTAR"
)</f>
        <v>CONSULTAR</v>
      </c>
      <c r="Q729" s="460"/>
      <c r="S729" s="460"/>
      <c r="T729" s="465"/>
      <c r="X729" s="466"/>
    </row>
    <row r="730" spans="1:24" s="464" customFormat="1" ht="15" customHeight="1" x14ac:dyDescent="0.25">
      <c r="A730" s="453"/>
      <c r="B730" s="454"/>
      <c r="C730" s="469"/>
      <c r="D730" s="456"/>
      <c r="E730" s="457"/>
      <c r="F730" s="458"/>
      <c r="G730" s="459"/>
      <c r="H730" s="460"/>
      <c r="I730" s="460"/>
      <c r="J730" s="460"/>
      <c r="K730" s="517"/>
      <c r="L730" s="460"/>
      <c r="M730" s="461"/>
      <c r="N730" s="461"/>
      <c r="O730" s="470"/>
      <c r="P730" s="568" t="str">
        <f>IF(LEFT(B730,5)="09735",
    IF(ISNA(VLOOKUP(Tabla13[[#This Row],[Apoyo]],'LM SAP'!A:G,1,FALSE)),
        "No Disponible",
        IF(VLOOKUP(Tabla13[[#This Row],[Apoyo]],'LM SAP'!A:AD,9,FALSE)="RR",
            "Disponible",
            "Firmas SAP"
        )
    ),
    "CONSULTAR"
)</f>
        <v>CONSULTAR</v>
      </c>
      <c r="Q730" s="460"/>
      <c r="S730" s="460"/>
      <c r="T730" s="465"/>
      <c r="X730" s="466"/>
    </row>
    <row r="731" spans="1:24" s="464" customFormat="1" ht="15" customHeight="1" x14ac:dyDescent="0.25">
      <c r="A731" s="453"/>
      <c r="B731" s="454"/>
      <c r="C731" s="469"/>
      <c r="D731" s="456"/>
      <c r="E731" s="457"/>
      <c r="F731" s="458"/>
      <c r="G731" s="459"/>
      <c r="H731" s="460"/>
      <c r="I731" s="460"/>
      <c r="J731" s="460"/>
      <c r="K731" s="517"/>
      <c r="L731" s="460"/>
      <c r="M731" s="461"/>
      <c r="N731" s="461"/>
      <c r="O731" s="470"/>
      <c r="P731" s="568" t="str">
        <f>IF(LEFT(B731,5)="09735",
    IF(ISNA(VLOOKUP(Tabla13[[#This Row],[Apoyo]],'LM SAP'!A:G,1,FALSE)),
        "No Disponible",
        IF(VLOOKUP(Tabla13[[#This Row],[Apoyo]],'LM SAP'!A:AD,9,FALSE)="RR",
            "Disponible",
            "Firmas SAP"
        )
    ),
    "CONSULTAR"
)</f>
        <v>CONSULTAR</v>
      </c>
      <c r="Q731" s="460"/>
      <c r="S731" s="460"/>
      <c r="T731" s="465"/>
      <c r="X731" s="466"/>
    </row>
    <row r="732" spans="1:24" s="464" customFormat="1" ht="15" customHeight="1" x14ac:dyDescent="0.25">
      <c r="A732" s="453"/>
      <c r="B732" s="454"/>
      <c r="C732" s="469"/>
      <c r="D732" s="456"/>
      <c r="E732" s="457"/>
      <c r="F732" s="458"/>
      <c r="G732" s="459"/>
      <c r="H732" s="460"/>
      <c r="I732" s="460"/>
      <c r="J732" s="460"/>
      <c r="K732" s="517"/>
      <c r="L732" s="460"/>
      <c r="M732" s="461"/>
      <c r="N732" s="461"/>
      <c r="O732" s="470"/>
      <c r="P732" s="568" t="str">
        <f>IF(LEFT(B732,5)="09735",
    IF(ISNA(VLOOKUP(Tabla13[[#This Row],[Apoyo]],'LM SAP'!A:G,1,FALSE)),
        "No Disponible",
        IF(VLOOKUP(Tabla13[[#This Row],[Apoyo]],'LM SAP'!A:AD,9,FALSE)="RR",
            "Disponible",
            "Firmas SAP"
        )
    ),
    "CONSULTAR"
)</f>
        <v>CONSULTAR</v>
      </c>
      <c r="Q732" s="460"/>
      <c r="S732" s="460"/>
      <c r="T732" s="465"/>
      <c r="X732" s="466"/>
    </row>
    <row r="733" spans="1:24" s="464" customFormat="1" ht="15" customHeight="1" x14ac:dyDescent="0.25">
      <c r="A733" s="453"/>
      <c r="B733" s="454"/>
      <c r="C733" s="469"/>
      <c r="D733" s="456"/>
      <c r="E733" s="457"/>
      <c r="F733" s="458"/>
      <c r="G733" s="459"/>
      <c r="H733" s="460"/>
      <c r="I733" s="460"/>
      <c r="J733" s="460"/>
      <c r="K733" s="517"/>
      <c r="L733" s="460"/>
      <c r="M733" s="461"/>
      <c r="N733" s="461"/>
      <c r="O733" s="470"/>
      <c r="P733" s="568" t="str">
        <f>IF(LEFT(B733,5)="09735",
    IF(ISNA(VLOOKUP(Tabla13[[#This Row],[Apoyo]],'LM SAP'!A:G,1,FALSE)),
        "No Disponible",
        IF(VLOOKUP(Tabla13[[#This Row],[Apoyo]],'LM SAP'!A:AD,9,FALSE)="RR",
            "Disponible",
            "Firmas SAP"
        )
    ),
    "CONSULTAR"
)</f>
        <v>CONSULTAR</v>
      </c>
      <c r="Q733" s="460"/>
      <c r="S733" s="460"/>
      <c r="T733" s="465"/>
      <c r="X733" s="466"/>
    </row>
    <row r="734" spans="1:24" s="464" customFormat="1" ht="15" customHeight="1" x14ac:dyDescent="0.25">
      <c r="A734" s="453"/>
      <c r="B734" s="454"/>
      <c r="C734" s="469"/>
      <c r="D734" s="456"/>
      <c r="E734" s="457"/>
      <c r="F734" s="458"/>
      <c r="G734" s="459"/>
      <c r="H734" s="460"/>
      <c r="I734" s="460"/>
      <c r="J734" s="460"/>
      <c r="K734" s="517"/>
      <c r="L734" s="460"/>
      <c r="M734" s="461"/>
      <c r="N734" s="461"/>
      <c r="O734" s="470"/>
      <c r="P734" s="568" t="str">
        <f>IF(LEFT(B734,5)="09735",
    IF(ISNA(VLOOKUP(Tabla13[[#This Row],[Apoyo]],'LM SAP'!A:G,1,FALSE)),
        "No Disponible",
        IF(VLOOKUP(Tabla13[[#This Row],[Apoyo]],'LM SAP'!A:AD,9,FALSE)="RR",
            "Disponible",
            "Firmas SAP"
        )
    ),
    "CONSULTAR"
)</f>
        <v>CONSULTAR</v>
      </c>
      <c r="Q734" s="460"/>
      <c r="S734" s="460"/>
      <c r="T734" s="465"/>
      <c r="X734" s="466"/>
    </row>
    <row r="735" spans="1:24" s="464" customFormat="1" ht="15" customHeight="1" x14ac:dyDescent="0.25">
      <c r="A735" s="453"/>
      <c r="B735" s="454"/>
      <c r="C735" s="469"/>
      <c r="D735" s="456"/>
      <c r="E735" s="457"/>
      <c r="F735" s="458"/>
      <c r="G735" s="459"/>
      <c r="H735" s="460"/>
      <c r="I735" s="460"/>
      <c r="J735" s="460"/>
      <c r="K735" s="517"/>
      <c r="L735" s="460"/>
      <c r="M735" s="461"/>
      <c r="N735" s="461"/>
      <c r="O735" s="470"/>
      <c r="P735" s="568" t="str">
        <f>IF(LEFT(B735,5)="09735",
    IF(ISNA(VLOOKUP(Tabla13[[#This Row],[Apoyo]],'LM SAP'!A:G,1,FALSE)),
        "No Disponible",
        IF(VLOOKUP(Tabla13[[#This Row],[Apoyo]],'LM SAP'!A:AD,9,FALSE)="RR",
            "Disponible",
            "Firmas SAP"
        )
    ),
    "CONSULTAR"
)</f>
        <v>CONSULTAR</v>
      </c>
      <c r="Q735" s="460"/>
      <c r="S735" s="460"/>
      <c r="T735" s="465"/>
      <c r="X735" s="466"/>
    </row>
    <row r="736" spans="1:24" s="464" customFormat="1" ht="15" customHeight="1" x14ac:dyDescent="0.25">
      <c r="A736" s="453"/>
      <c r="B736" s="454"/>
      <c r="C736" s="469"/>
      <c r="D736" s="456"/>
      <c r="E736" s="457"/>
      <c r="F736" s="458"/>
      <c r="G736" s="459"/>
      <c r="H736" s="460"/>
      <c r="I736" s="460"/>
      <c r="J736" s="460"/>
      <c r="K736" s="517"/>
      <c r="L736" s="460"/>
      <c r="M736" s="461"/>
      <c r="N736" s="461"/>
      <c r="O736" s="470"/>
      <c r="P736" s="568" t="str">
        <f>IF(LEFT(B736,5)="09735",
    IF(ISNA(VLOOKUP(Tabla13[[#This Row],[Apoyo]],'LM SAP'!A:G,1,FALSE)),
        "No Disponible",
        IF(VLOOKUP(Tabla13[[#This Row],[Apoyo]],'LM SAP'!A:AD,9,FALSE)="RR",
            "Disponible",
            "Firmas SAP"
        )
    ),
    "CONSULTAR"
)</f>
        <v>CONSULTAR</v>
      </c>
      <c r="Q736" s="460"/>
      <c r="S736" s="460"/>
      <c r="T736" s="465"/>
      <c r="X736" s="466"/>
    </row>
    <row r="737" spans="1:24" s="464" customFormat="1" ht="15" customHeight="1" x14ac:dyDescent="0.25">
      <c r="A737" s="453"/>
      <c r="B737" s="454"/>
      <c r="C737" s="469"/>
      <c r="D737" s="456"/>
      <c r="E737" s="457"/>
      <c r="F737" s="458"/>
      <c r="G737" s="459"/>
      <c r="H737" s="460"/>
      <c r="I737" s="460"/>
      <c r="J737" s="460"/>
      <c r="K737" s="517"/>
      <c r="L737" s="460"/>
      <c r="M737" s="461"/>
      <c r="N737" s="461"/>
      <c r="O737" s="470"/>
      <c r="P737" s="568" t="str">
        <f>IF(LEFT(B737,5)="09735",
    IF(ISNA(VLOOKUP(Tabla13[[#This Row],[Apoyo]],'LM SAP'!A:G,1,FALSE)),
        "No Disponible",
        IF(VLOOKUP(Tabla13[[#This Row],[Apoyo]],'LM SAP'!A:AD,9,FALSE)="RR",
            "Disponible",
            "Firmas SAP"
        )
    ),
    "CONSULTAR"
)</f>
        <v>CONSULTAR</v>
      </c>
      <c r="Q737" s="460"/>
      <c r="S737" s="460"/>
      <c r="T737" s="465"/>
      <c r="X737" s="466"/>
    </row>
    <row r="738" spans="1:24" s="464" customFormat="1" ht="15" customHeight="1" x14ac:dyDescent="0.25">
      <c r="A738" s="453"/>
      <c r="B738" s="454"/>
      <c r="C738" s="469"/>
      <c r="D738" s="456"/>
      <c r="E738" s="457"/>
      <c r="F738" s="458"/>
      <c r="G738" s="459"/>
      <c r="H738" s="460"/>
      <c r="I738" s="460"/>
      <c r="J738" s="460"/>
      <c r="K738" s="517"/>
      <c r="L738" s="460"/>
      <c r="M738" s="461"/>
      <c r="N738" s="461"/>
      <c r="O738" s="470"/>
      <c r="P738" s="568" t="str">
        <f>IF(LEFT(B738,5)="09735",
    IF(ISNA(VLOOKUP(Tabla13[[#This Row],[Apoyo]],'LM SAP'!A:G,1,FALSE)),
        "No Disponible",
        IF(VLOOKUP(Tabla13[[#This Row],[Apoyo]],'LM SAP'!A:AD,9,FALSE)="RR",
            "Disponible",
            "Firmas SAP"
        )
    ),
    "CONSULTAR"
)</f>
        <v>CONSULTAR</v>
      </c>
      <c r="Q738" s="460"/>
      <c r="S738" s="460"/>
      <c r="T738" s="465"/>
      <c r="X738" s="466"/>
    </row>
    <row r="739" spans="1:24" s="464" customFormat="1" ht="15" customHeight="1" x14ac:dyDescent="0.25">
      <c r="A739" s="453"/>
      <c r="B739" s="454"/>
      <c r="C739" s="469"/>
      <c r="D739" s="456"/>
      <c r="E739" s="457"/>
      <c r="F739" s="458"/>
      <c r="G739" s="459"/>
      <c r="H739" s="460"/>
      <c r="I739" s="460"/>
      <c r="J739" s="460"/>
      <c r="K739" s="517"/>
      <c r="L739" s="460"/>
      <c r="M739" s="461"/>
      <c r="N739" s="461"/>
      <c r="O739" s="470"/>
      <c r="P739" s="568" t="str">
        <f>IF(LEFT(B739,5)="09735",
    IF(ISNA(VLOOKUP(Tabla13[[#This Row],[Apoyo]],'LM SAP'!A:G,1,FALSE)),
        "No Disponible",
        IF(VLOOKUP(Tabla13[[#This Row],[Apoyo]],'LM SAP'!A:AD,9,FALSE)="RR",
            "Disponible",
            "Firmas SAP"
        )
    ),
    "CONSULTAR"
)</f>
        <v>CONSULTAR</v>
      </c>
      <c r="Q739" s="460"/>
      <c r="S739" s="460"/>
      <c r="T739" s="465"/>
      <c r="X739" s="466"/>
    </row>
    <row r="740" spans="1:24" s="464" customFormat="1" ht="15" customHeight="1" x14ac:dyDescent="0.25">
      <c r="A740" s="453"/>
      <c r="B740" s="454"/>
      <c r="C740" s="469"/>
      <c r="D740" s="456"/>
      <c r="E740" s="457"/>
      <c r="F740" s="458"/>
      <c r="G740" s="459"/>
      <c r="H740" s="460"/>
      <c r="I740" s="460"/>
      <c r="J740" s="460"/>
      <c r="K740" s="517"/>
      <c r="L740" s="460"/>
      <c r="M740" s="461"/>
      <c r="N740" s="461"/>
      <c r="O740" s="470"/>
      <c r="P740" s="568" t="str">
        <f>IF(LEFT(B740,5)="09735",
    IF(ISNA(VLOOKUP(Tabla13[[#This Row],[Apoyo]],'LM SAP'!A:G,1,FALSE)),
        "No Disponible",
        IF(VLOOKUP(Tabla13[[#This Row],[Apoyo]],'LM SAP'!A:AD,9,FALSE)="RR",
            "Disponible",
            "Firmas SAP"
        )
    ),
    "CONSULTAR"
)</f>
        <v>CONSULTAR</v>
      </c>
      <c r="Q740" s="460"/>
      <c r="S740" s="460"/>
      <c r="T740" s="465"/>
      <c r="X740" s="466"/>
    </row>
    <row r="741" spans="1:24" s="464" customFormat="1" ht="15" customHeight="1" x14ac:dyDescent="0.25">
      <c r="A741" s="453"/>
      <c r="B741" s="454"/>
      <c r="C741" s="469"/>
      <c r="D741" s="456"/>
      <c r="E741" s="457"/>
      <c r="F741" s="458"/>
      <c r="G741" s="459"/>
      <c r="H741" s="460"/>
      <c r="I741" s="460"/>
      <c r="J741" s="460"/>
      <c r="K741" s="517"/>
      <c r="L741" s="460"/>
      <c r="M741" s="461"/>
      <c r="N741" s="461"/>
      <c r="O741" s="470"/>
      <c r="P741" s="568" t="str">
        <f>IF(LEFT(B741,5)="09735",
    IF(ISNA(VLOOKUP(Tabla13[[#This Row],[Apoyo]],'LM SAP'!A:G,1,FALSE)),
        "No Disponible",
        IF(VLOOKUP(Tabla13[[#This Row],[Apoyo]],'LM SAP'!A:AD,9,FALSE)="RR",
            "Disponible",
            "Firmas SAP"
        )
    ),
    "CONSULTAR"
)</f>
        <v>CONSULTAR</v>
      </c>
      <c r="Q741" s="460"/>
      <c r="S741" s="460"/>
      <c r="T741" s="465"/>
      <c r="X741" s="466"/>
    </row>
    <row r="742" spans="1:24" s="464" customFormat="1" ht="15" customHeight="1" x14ac:dyDescent="0.25">
      <c r="A742" s="453"/>
      <c r="B742" s="454"/>
      <c r="C742" s="469"/>
      <c r="D742" s="456"/>
      <c r="E742" s="457"/>
      <c r="F742" s="458"/>
      <c r="G742" s="459"/>
      <c r="H742" s="460"/>
      <c r="I742" s="460"/>
      <c r="J742" s="460"/>
      <c r="K742" s="517"/>
      <c r="L742" s="460"/>
      <c r="M742" s="461"/>
      <c r="N742" s="461"/>
      <c r="O742" s="470"/>
      <c r="P742" s="568" t="str">
        <f>IF(LEFT(B742,5)="09735",
    IF(ISNA(VLOOKUP(Tabla13[[#This Row],[Apoyo]],'LM SAP'!A:G,1,FALSE)),
        "No Disponible",
        IF(VLOOKUP(Tabla13[[#This Row],[Apoyo]],'LM SAP'!A:AD,9,FALSE)="RR",
            "Disponible",
            "Firmas SAP"
        )
    ),
    "CONSULTAR"
)</f>
        <v>CONSULTAR</v>
      </c>
      <c r="Q742" s="460"/>
      <c r="S742" s="460"/>
      <c r="T742" s="465"/>
      <c r="X742" s="466"/>
    </row>
    <row r="743" spans="1:24" s="464" customFormat="1" ht="15" customHeight="1" x14ac:dyDescent="0.25">
      <c r="A743" s="453"/>
      <c r="B743" s="454"/>
      <c r="C743" s="469"/>
      <c r="D743" s="456"/>
      <c r="E743" s="457"/>
      <c r="F743" s="458"/>
      <c r="G743" s="459"/>
      <c r="H743" s="460"/>
      <c r="I743" s="460"/>
      <c r="J743" s="460"/>
      <c r="K743" s="517"/>
      <c r="L743" s="460"/>
      <c r="M743" s="461"/>
      <c r="N743" s="461"/>
      <c r="O743" s="470"/>
      <c r="P743" s="568" t="str">
        <f>IF(LEFT(B743,5)="09735",
    IF(ISNA(VLOOKUP(Tabla13[[#This Row],[Apoyo]],'LM SAP'!A:G,1,FALSE)),
        "No Disponible",
        IF(VLOOKUP(Tabla13[[#This Row],[Apoyo]],'LM SAP'!A:AD,9,FALSE)="RR",
            "Disponible",
            "Firmas SAP"
        )
    ),
    "CONSULTAR"
)</f>
        <v>CONSULTAR</v>
      </c>
      <c r="Q743" s="460"/>
      <c r="S743" s="460"/>
      <c r="T743" s="465"/>
      <c r="X743" s="466"/>
    </row>
    <row r="744" spans="1:24" s="464" customFormat="1" ht="15" customHeight="1" x14ac:dyDescent="0.25">
      <c r="A744" s="453"/>
      <c r="B744" s="454"/>
      <c r="C744" s="469"/>
      <c r="D744" s="456"/>
      <c r="E744" s="457"/>
      <c r="F744" s="458"/>
      <c r="G744" s="459"/>
      <c r="H744" s="460"/>
      <c r="I744" s="460"/>
      <c r="J744" s="460"/>
      <c r="K744" s="517"/>
      <c r="L744" s="460"/>
      <c r="M744" s="461"/>
      <c r="N744" s="461"/>
      <c r="O744" s="470"/>
      <c r="P744" s="568" t="str">
        <f>IF(LEFT(B744,5)="09735",
    IF(ISNA(VLOOKUP(Tabla13[[#This Row],[Apoyo]],'LM SAP'!A:G,1,FALSE)),
        "No Disponible",
        IF(VLOOKUP(Tabla13[[#This Row],[Apoyo]],'LM SAP'!A:AD,9,FALSE)="RR",
            "Disponible",
            "Firmas SAP"
        )
    ),
    "CONSULTAR"
)</f>
        <v>CONSULTAR</v>
      </c>
      <c r="Q744" s="460"/>
      <c r="S744" s="460"/>
      <c r="T744" s="465"/>
      <c r="X744" s="466"/>
    </row>
    <row r="745" spans="1:24" s="464" customFormat="1" ht="15" customHeight="1" x14ac:dyDescent="0.25">
      <c r="A745" s="453"/>
      <c r="B745" s="454"/>
      <c r="C745" s="469"/>
      <c r="D745" s="456"/>
      <c r="E745" s="457"/>
      <c r="F745" s="458"/>
      <c r="G745" s="459"/>
      <c r="H745" s="460"/>
      <c r="I745" s="460"/>
      <c r="J745" s="460"/>
      <c r="K745" s="517"/>
      <c r="L745" s="460"/>
      <c r="M745" s="461"/>
      <c r="N745" s="461"/>
      <c r="O745" s="470"/>
      <c r="P745" s="568" t="str">
        <f>IF(LEFT(B745,5)="09735",
    IF(ISNA(VLOOKUP(Tabla13[[#This Row],[Apoyo]],'LM SAP'!A:G,1,FALSE)),
        "No Disponible",
        IF(VLOOKUP(Tabla13[[#This Row],[Apoyo]],'LM SAP'!A:AD,9,FALSE)="RR",
            "Disponible",
            "Firmas SAP"
        )
    ),
    "CONSULTAR"
)</f>
        <v>CONSULTAR</v>
      </c>
      <c r="Q745" s="460"/>
      <c r="S745" s="460"/>
      <c r="T745" s="465"/>
      <c r="X745" s="466"/>
    </row>
    <row r="746" spans="1:24" s="464" customFormat="1" ht="15" customHeight="1" x14ac:dyDescent="0.25">
      <c r="A746" s="453"/>
      <c r="B746" s="454"/>
      <c r="C746" s="469"/>
      <c r="D746" s="456"/>
      <c r="E746" s="457"/>
      <c r="F746" s="458"/>
      <c r="G746" s="459"/>
      <c r="H746" s="460"/>
      <c r="I746" s="460"/>
      <c r="J746" s="460"/>
      <c r="K746" s="517"/>
      <c r="L746" s="460"/>
      <c r="M746" s="461"/>
      <c r="N746" s="461"/>
      <c r="O746" s="470"/>
      <c r="P746" s="568" t="str">
        <f>IF(LEFT(B746,5)="09735",
    IF(ISNA(VLOOKUP(Tabla13[[#This Row],[Apoyo]],'LM SAP'!A:G,1,FALSE)),
        "No Disponible",
        IF(VLOOKUP(Tabla13[[#This Row],[Apoyo]],'LM SAP'!A:AD,9,FALSE)="RR",
            "Disponible",
            "Firmas SAP"
        )
    ),
    "CONSULTAR"
)</f>
        <v>CONSULTAR</v>
      </c>
      <c r="Q746" s="460"/>
      <c r="S746" s="460"/>
      <c r="T746" s="465"/>
      <c r="X746" s="466"/>
    </row>
    <row r="747" spans="1:24" s="464" customFormat="1" ht="15" customHeight="1" x14ac:dyDescent="0.25">
      <c r="A747" s="453"/>
      <c r="B747" s="454"/>
      <c r="C747" s="469"/>
      <c r="D747" s="456"/>
      <c r="E747" s="457"/>
      <c r="F747" s="458"/>
      <c r="G747" s="459"/>
      <c r="H747" s="460"/>
      <c r="I747" s="460"/>
      <c r="J747" s="460"/>
      <c r="K747" s="517"/>
      <c r="L747" s="460"/>
      <c r="M747" s="461"/>
      <c r="N747" s="461"/>
      <c r="O747" s="470"/>
      <c r="P747" s="568" t="str">
        <f>IF(LEFT(B747,5)="09735",
    IF(ISNA(VLOOKUP(Tabla13[[#This Row],[Apoyo]],'LM SAP'!A:G,1,FALSE)),
        "No Disponible",
        IF(VLOOKUP(Tabla13[[#This Row],[Apoyo]],'LM SAP'!A:AD,9,FALSE)="RR",
            "Disponible",
            "Firmas SAP"
        )
    ),
    "CONSULTAR"
)</f>
        <v>CONSULTAR</v>
      </c>
      <c r="Q747" s="460"/>
      <c r="S747" s="460"/>
      <c r="T747" s="465"/>
      <c r="X747" s="466"/>
    </row>
    <row r="748" spans="1:24" s="464" customFormat="1" ht="15" customHeight="1" x14ac:dyDescent="0.25">
      <c r="A748" s="453"/>
      <c r="B748" s="454"/>
      <c r="C748" s="469"/>
      <c r="D748" s="456"/>
      <c r="E748" s="457"/>
      <c r="F748" s="458"/>
      <c r="G748" s="459"/>
      <c r="H748" s="460"/>
      <c r="I748" s="460"/>
      <c r="J748" s="460"/>
      <c r="K748" s="517"/>
      <c r="L748" s="460"/>
      <c r="M748" s="461"/>
      <c r="N748" s="461"/>
      <c r="O748" s="470"/>
      <c r="P748" s="568" t="str">
        <f>IF(LEFT(B748,5)="09735",
    IF(ISNA(VLOOKUP(Tabla13[[#This Row],[Apoyo]],'LM SAP'!A:G,1,FALSE)),
        "No Disponible",
        IF(VLOOKUP(Tabla13[[#This Row],[Apoyo]],'LM SAP'!A:AD,9,FALSE)="RR",
            "Disponible",
            "Firmas SAP"
        )
    ),
    "CONSULTAR"
)</f>
        <v>CONSULTAR</v>
      </c>
      <c r="Q748" s="460"/>
      <c r="S748" s="460"/>
      <c r="T748" s="465"/>
      <c r="X748" s="466"/>
    </row>
    <row r="749" spans="1:24" s="464" customFormat="1" ht="15" customHeight="1" x14ac:dyDescent="0.25">
      <c r="A749" s="453"/>
      <c r="B749" s="454"/>
      <c r="C749" s="469"/>
      <c r="D749" s="456"/>
      <c r="E749" s="457"/>
      <c r="F749" s="458"/>
      <c r="G749" s="459"/>
      <c r="H749" s="460"/>
      <c r="I749" s="460"/>
      <c r="J749" s="460"/>
      <c r="K749" s="517"/>
      <c r="L749" s="460"/>
      <c r="M749" s="461"/>
      <c r="N749" s="461"/>
      <c r="O749" s="470"/>
      <c r="P749" s="568" t="str">
        <f>IF(LEFT(B749,5)="09735",
    IF(ISNA(VLOOKUP(Tabla13[[#This Row],[Apoyo]],'LM SAP'!A:G,1,FALSE)),
        "No Disponible",
        IF(VLOOKUP(Tabla13[[#This Row],[Apoyo]],'LM SAP'!A:AD,9,FALSE)="RR",
            "Disponible",
            "Firmas SAP"
        )
    ),
    "CONSULTAR"
)</f>
        <v>CONSULTAR</v>
      </c>
      <c r="Q749" s="460"/>
      <c r="S749" s="460"/>
      <c r="T749" s="465"/>
      <c r="X749" s="466"/>
    </row>
    <row r="750" spans="1:24" s="464" customFormat="1" ht="15" customHeight="1" x14ac:dyDescent="0.25">
      <c r="A750" s="453"/>
      <c r="B750" s="454"/>
      <c r="C750" s="469"/>
      <c r="D750" s="456"/>
      <c r="E750" s="457"/>
      <c r="F750" s="458"/>
      <c r="G750" s="459"/>
      <c r="H750" s="460"/>
      <c r="I750" s="460"/>
      <c r="J750" s="460"/>
      <c r="K750" s="517"/>
      <c r="L750" s="460"/>
      <c r="M750" s="461"/>
      <c r="N750" s="461"/>
      <c r="O750" s="470"/>
      <c r="P750" s="568" t="str">
        <f>IF(LEFT(B750,5)="09735",
    IF(ISNA(VLOOKUP(Tabla13[[#This Row],[Apoyo]],'LM SAP'!A:G,1,FALSE)),
        "No Disponible",
        IF(VLOOKUP(Tabla13[[#This Row],[Apoyo]],'LM SAP'!A:AD,9,FALSE)="RR",
            "Disponible",
            "Firmas SAP"
        )
    ),
    "CONSULTAR"
)</f>
        <v>CONSULTAR</v>
      </c>
      <c r="Q750" s="460"/>
      <c r="S750" s="460"/>
      <c r="T750" s="465"/>
      <c r="X750" s="466"/>
    </row>
    <row r="751" spans="1:24" s="464" customFormat="1" ht="15" customHeight="1" x14ac:dyDescent="0.25">
      <c r="A751" s="453"/>
      <c r="B751" s="454"/>
      <c r="C751" s="469"/>
      <c r="D751" s="456"/>
      <c r="E751" s="457"/>
      <c r="F751" s="458"/>
      <c r="G751" s="459"/>
      <c r="H751" s="460"/>
      <c r="I751" s="460"/>
      <c r="J751" s="460"/>
      <c r="K751" s="517"/>
      <c r="L751" s="460"/>
      <c r="M751" s="461"/>
      <c r="N751" s="461"/>
      <c r="O751" s="470"/>
      <c r="P751" s="568" t="str">
        <f>IF(LEFT(B751,5)="09735",
    IF(ISNA(VLOOKUP(Tabla13[[#This Row],[Apoyo]],'LM SAP'!A:G,1,FALSE)),
        "No Disponible",
        IF(VLOOKUP(Tabla13[[#This Row],[Apoyo]],'LM SAP'!A:AD,9,FALSE)="RR",
            "Disponible",
            "Firmas SAP"
        )
    ),
    "CONSULTAR"
)</f>
        <v>CONSULTAR</v>
      </c>
      <c r="Q751" s="460"/>
      <c r="S751" s="460"/>
      <c r="T751" s="465"/>
      <c r="X751" s="466"/>
    </row>
    <row r="752" spans="1:24" s="464" customFormat="1" ht="15" customHeight="1" x14ac:dyDescent="0.25">
      <c r="A752" s="453"/>
      <c r="B752" s="454"/>
      <c r="C752" s="469"/>
      <c r="D752" s="456"/>
      <c r="E752" s="457"/>
      <c r="F752" s="458"/>
      <c r="G752" s="459"/>
      <c r="H752" s="460"/>
      <c r="I752" s="460"/>
      <c r="J752" s="460"/>
      <c r="K752" s="517"/>
      <c r="L752" s="460"/>
      <c r="M752" s="461"/>
      <c r="N752" s="461"/>
      <c r="O752" s="470"/>
      <c r="P752" s="568" t="str">
        <f>IF(LEFT(B752,5)="09735",
    IF(ISNA(VLOOKUP(Tabla13[[#This Row],[Apoyo]],'LM SAP'!A:G,1,FALSE)),
        "No Disponible",
        IF(VLOOKUP(Tabla13[[#This Row],[Apoyo]],'LM SAP'!A:AD,9,FALSE)="RR",
            "Disponible",
            "Firmas SAP"
        )
    ),
    "CONSULTAR"
)</f>
        <v>CONSULTAR</v>
      </c>
      <c r="Q752" s="460"/>
      <c r="S752" s="460"/>
      <c r="T752" s="465"/>
      <c r="X752" s="466"/>
    </row>
    <row r="753" spans="1:24" s="464" customFormat="1" ht="15" customHeight="1" x14ac:dyDescent="0.25">
      <c r="A753" s="453"/>
      <c r="B753" s="454"/>
      <c r="C753" s="469"/>
      <c r="D753" s="456"/>
      <c r="E753" s="457"/>
      <c r="F753" s="458"/>
      <c r="G753" s="459"/>
      <c r="H753" s="460"/>
      <c r="I753" s="460"/>
      <c r="J753" s="460"/>
      <c r="K753" s="517"/>
      <c r="L753" s="460"/>
      <c r="M753" s="461"/>
      <c r="N753" s="461"/>
      <c r="O753" s="470"/>
      <c r="P753" s="568" t="str">
        <f>IF(LEFT(B753,5)="09735",
    IF(ISNA(VLOOKUP(Tabla13[[#This Row],[Apoyo]],'LM SAP'!A:G,1,FALSE)),
        "No Disponible",
        IF(VLOOKUP(Tabla13[[#This Row],[Apoyo]],'LM SAP'!A:AD,9,FALSE)="RR",
            "Disponible",
            "Firmas SAP"
        )
    ),
    "CONSULTAR"
)</f>
        <v>CONSULTAR</v>
      </c>
      <c r="Q753" s="460"/>
      <c r="S753" s="460"/>
      <c r="T753" s="465"/>
      <c r="X753" s="466"/>
    </row>
    <row r="754" spans="1:24" s="464" customFormat="1" ht="15" customHeight="1" x14ac:dyDescent="0.25">
      <c r="A754" s="453"/>
      <c r="B754" s="454"/>
      <c r="C754" s="469"/>
      <c r="D754" s="456"/>
      <c r="E754" s="457"/>
      <c r="F754" s="458"/>
      <c r="G754" s="459"/>
      <c r="H754" s="460"/>
      <c r="I754" s="460"/>
      <c r="J754" s="460"/>
      <c r="K754" s="517"/>
      <c r="L754" s="460"/>
      <c r="M754" s="461"/>
      <c r="N754" s="461"/>
      <c r="O754" s="470"/>
      <c r="P754" s="568" t="str">
        <f>IF(LEFT(B754,5)="09735",
    IF(ISNA(VLOOKUP(Tabla13[[#This Row],[Apoyo]],'LM SAP'!A:G,1,FALSE)),
        "No Disponible",
        IF(VLOOKUP(Tabla13[[#This Row],[Apoyo]],'LM SAP'!A:AD,9,FALSE)="RR",
            "Disponible",
            "Firmas SAP"
        )
    ),
    "CONSULTAR"
)</f>
        <v>CONSULTAR</v>
      </c>
      <c r="Q754" s="460"/>
      <c r="S754" s="460"/>
      <c r="T754" s="465"/>
      <c r="X754" s="466"/>
    </row>
    <row r="755" spans="1:24" s="464" customFormat="1" ht="15" customHeight="1" x14ac:dyDescent="0.25">
      <c r="A755" s="453"/>
      <c r="B755" s="454"/>
      <c r="C755" s="469"/>
      <c r="D755" s="456"/>
      <c r="E755" s="457"/>
      <c r="F755" s="458"/>
      <c r="G755" s="459"/>
      <c r="H755" s="460"/>
      <c r="I755" s="460"/>
      <c r="J755" s="460"/>
      <c r="K755" s="517"/>
      <c r="L755" s="460"/>
      <c r="M755" s="461"/>
      <c r="N755" s="461"/>
      <c r="O755" s="470"/>
      <c r="P755" s="568" t="str">
        <f>IF(LEFT(B755,5)="09735",
    IF(ISNA(VLOOKUP(Tabla13[[#This Row],[Apoyo]],'LM SAP'!A:G,1,FALSE)),
        "No Disponible",
        IF(VLOOKUP(Tabla13[[#This Row],[Apoyo]],'LM SAP'!A:AD,9,FALSE)="RR",
            "Disponible",
            "Firmas SAP"
        )
    ),
    "CONSULTAR"
)</f>
        <v>CONSULTAR</v>
      </c>
      <c r="Q755" s="460"/>
      <c r="S755" s="460"/>
      <c r="T755" s="465"/>
      <c r="X755" s="466"/>
    </row>
    <row r="756" spans="1:24" s="464" customFormat="1" ht="15" customHeight="1" x14ac:dyDescent="0.25">
      <c r="A756" s="453"/>
      <c r="B756" s="454"/>
      <c r="C756" s="469"/>
      <c r="D756" s="456"/>
      <c r="E756" s="457"/>
      <c r="F756" s="458"/>
      <c r="G756" s="459"/>
      <c r="H756" s="460"/>
      <c r="I756" s="460"/>
      <c r="J756" s="460"/>
      <c r="K756" s="517"/>
      <c r="L756" s="460"/>
      <c r="M756" s="461"/>
      <c r="N756" s="461"/>
      <c r="O756" s="470"/>
      <c r="P756" s="568" t="str">
        <f>IF(LEFT(B756,5)="09735",
    IF(ISNA(VLOOKUP(Tabla13[[#This Row],[Apoyo]],'LM SAP'!A:G,1,FALSE)),
        "No Disponible",
        IF(VLOOKUP(Tabla13[[#This Row],[Apoyo]],'LM SAP'!A:AD,9,FALSE)="RR",
            "Disponible",
            "Firmas SAP"
        )
    ),
    "CONSULTAR"
)</f>
        <v>CONSULTAR</v>
      </c>
      <c r="Q756" s="460"/>
      <c r="S756" s="460"/>
      <c r="T756" s="465"/>
      <c r="X756" s="466"/>
    </row>
    <row r="757" spans="1:24" s="464" customFormat="1" ht="15" customHeight="1" x14ac:dyDescent="0.25">
      <c r="A757" s="453"/>
      <c r="B757" s="454"/>
      <c r="C757" s="469"/>
      <c r="D757" s="456"/>
      <c r="E757" s="457"/>
      <c r="F757" s="458"/>
      <c r="G757" s="459"/>
      <c r="H757" s="460"/>
      <c r="I757" s="460"/>
      <c r="J757" s="460"/>
      <c r="K757" s="517"/>
      <c r="L757" s="460"/>
      <c r="M757" s="461"/>
      <c r="N757" s="461"/>
      <c r="O757" s="470"/>
      <c r="P757" s="568" t="str">
        <f>IF(LEFT(B757,5)="09735",
    IF(ISNA(VLOOKUP(Tabla13[[#This Row],[Apoyo]],'LM SAP'!A:G,1,FALSE)),
        "No Disponible",
        IF(VLOOKUP(Tabla13[[#This Row],[Apoyo]],'LM SAP'!A:AD,9,FALSE)="RR",
            "Disponible",
            "Firmas SAP"
        )
    ),
    "CONSULTAR"
)</f>
        <v>CONSULTAR</v>
      </c>
      <c r="Q757" s="460"/>
      <c r="S757" s="460"/>
      <c r="T757" s="465"/>
      <c r="X757" s="466"/>
    </row>
    <row r="758" spans="1:24" s="464" customFormat="1" ht="15" customHeight="1" x14ac:dyDescent="0.25">
      <c r="A758" s="453"/>
      <c r="B758" s="454"/>
      <c r="C758" s="469"/>
      <c r="D758" s="456"/>
      <c r="E758" s="457"/>
      <c r="F758" s="458"/>
      <c r="G758" s="459"/>
      <c r="H758" s="460"/>
      <c r="I758" s="460"/>
      <c r="J758" s="460"/>
      <c r="K758" s="517"/>
      <c r="L758" s="460"/>
      <c r="M758" s="461"/>
      <c r="N758" s="461"/>
      <c r="O758" s="470"/>
      <c r="P758" s="568" t="str">
        <f>IF(LEFT(B758,5)="09735",
    IF(ISNA(VLOOKUP(Tabla13[[#This Row],[Apoyo]],'LM SAP'!A:G,1,FALSE)),
        "No Disponible",
        IF(VLOOKUP(Tabla13[[#This Row],[Apoyo]],'LM SAP'!A:AD,9,FALSE)="RR",
            "Disponible",
            "Firmas SAP"
        )
    ),
    "CONSULTAR"
)</f>
        <v>CONSULTAR</v>
      </c>
      <c r="Q758" s="460"/>
      <c r="S758" s="460"/>
      <c r="T758" s="465"/>
      <c r="X758" s="466"/>
    </row>
    <row r="759" spans="1:24" s="464" customFormat="1" ht="15" customHeight="1" x14ac:dyDescent="0.25">
      <c r="A759" s="453"/>
      <c r="B759" s="454"/>
      <c r="C759" s="469"/>
      <c r="D759" s="456"/>
      <c r="E759" s="457"/>
      <c r="F759" s="458"/>
      <c r="G759" s="459"/>
      <c r="H759" s="460"/>
      <c r="I759" s="460"/>
      <c r="J759" s="460"/>
      <c r="K759" s="517"/>
      <c r="L759" s="460"/>
      <c r="M759" s="461"/>
      <c r="N759" s="461"/>
      <c r="O759" s="470"/>
      <c r="P759" s="568" t="str">
        <f>IF(LEFT(B759,5)="09735",
    IF(ISNA(VLOOKUP(Tabla13[[#This Row],[Apoyo]],'LM SAP'!A:G,1,FALSE)),
        "No Disponible",
        IF(VLOOKUP(Tabla13[[#This Row],[Apoyo]],'LM SAP'!A:AD,9,FALSE)="RR",
            "Disponible",
            "Firmas SAP"
        )
    ),
    "CONSULTAR"
)</f>
        <v>CONSULTAR</v>
      </c>
      <c r="Q759" s="460"/>
      <c r="S759" s="460"/>
      <c r="T759" s="465"/>
      <c r="X759" s="466"/>
    </row>
    <row r="760" spans="1:24" s="464" customFormat="1" ht="15" customHeight="1" x14ac:dyDescent="0.25">
      <c r="A760" s="453"/>
      <c r="B760" s="454"/>
      <c r="C760" s="469"/>
      <c r="D760" s="456"/>
      <c r="E760" s="457"/>
      <c r="F760" s="458"/>
      <c r="G760" s="459"/>
      <c r="H760" s="460"/>
      <c r="I760" s="460"/>
      <c r="J760" s="460"/>
      <c r="K760" s="517"/>
      <c r="L760" s="460"/>
      <c r="M760" s="461"/>
      <c r="N760" s="461"/>
      <c r="O760" s="470"/>
      <c r="P760" s="568" t="str">
        <f>IF(LEFT(B760,5)="09735",
    IF(ISNA(VLOOKUP(Tabla13[[#This Row],[Apoyo]],'LM SAP'!A:G,1,FALSE)),
        "No Disponible",
        IF(VLOOKUP(Tabla13[[#This Row],[Apoyo]],'LM SAP'!A:AD,9,FALSE)="RR",
            "Disponible",
            "Firmas SAP"
        )
    ),
    "CONSULTAR"
)</f>
        <v>CONSULTAR</v>
      </c>
      <c r="Q760" s="460"/>
      <c r="S760" s="460"/>
      <c r="T760" s="465"/>
      <c r="X760" s="466"/>
    </row>
    <row r="761" spans="1:24" s="464" customFormat="1" ht="15" customHeight="1" x14ac:dyDescent="0.25">
      <c r="A761" s="453"/>
      <c r="B761" s="454"/>
      <c r="C761" s="469"/>
      <c r="D761" s="456"/>
      <c r="E761" s="457"/>
      <c r="F761" s="458"/>
      <c r="G761" s="459"/>
      <c r="H761" s="460"/>
      <c r="I761" s="460"/>
      <c r="J761" s="460"/>
      <c r="K761" s="517"/>
      <c r="L761" s="460"/>
      <c r="M761" s="461"/>
      <c r="N761" s="461"/>
      <c r="O761" s="470"/>
      <c r="P761" s="568" t="str">
        <f>IF(LEFT(B761,5)="09735",
    IF(ISNA(VLOOKUP(Tabla13[[#This Row],[Apoyo]],'LM SAP'!A:G,1,FALSE)),
        "No Disponible",
        IF(VLOOKUP(Tabla13[[#This Row],[Apoyo]],'LM SAP'!A:AD,9,FALSE)="RR",
            "Disponible",
            "Firmas SAP"
        )
    ),
    "CONSULTAR"
)</f>
        <v>CONSULTAR</v>
      </c>
      <c r="Q761" s="460"/>
      <c r="S761" s="460"/>
      <c r="T761" s="465"/>
      <c r="X761" s="466"/>
    </row>
    <row r="762" spans="1:24" s="464" customFormat="1" ht="15" customHeight="1" x14ac:dyDescent="0.25">
      <c r="A762" s="453"/>
      <c r="B762" s="454"/>
      <c r="C762" s="469"/>
      <c r="D762" s="456"/>
      <c r="E762" s="457"/>
      <c r="F762" s="458"/>
      <c r="G762" s="459"/>
      <c r="H762" s="460"/>
      <c r="I762" s="460"/>
      <c r="J762" s="460"/>
      <c r="K762" s="517"/>
      <c r="L762" s="460"/>
      <c r="M762" s="461"/>
      <c r="N762" s="461"/>
      <c r="O762" s="470"/>
      <c r="P762" s="568" t="str">
        <f>IF(LEFT(B762,5)="09735",
    IF(ISNA(VLOOKUP(Tabla13[[#This Row],[Apoyo]],'LM SAP'!A:G,1,FALSE)),
        "No Disponible",
        IF(VLOOKUP(Tabla13[[#This Row],[Apoyo]],'LM SAP'!A:AD,9,FALSE)="RR",
            "Disponible",
            "Firmas SAP"
        )
    ),
    "CONSULTAR"
)</f>
        <v>CONSULTAR</v>
      </c>
      <c r="Q762" s="460"/>
      <c r="S762" s="460"/>
      <c r="T762" s="465"/>
      <c r="X762" s="466"/>
    </row>
    <row r="763" spans="1:24" s="464" customFormat="1" ht="15" customHeight="1" x14ac:dyDescent="0.25">
      <c r="A763" s="453"/>
      <c r="B763" s="454"/>
      <c r="C763" s="469"/>
      <c r="D763" s="456"/>
      <c r="E763" s="457"/>
      <c r="F763" s="458"/>
      <c r="G763" s="459"/>
      <c r="H763" s="460"/>
      <c r="I763" s="460"/>
      <c r="J763" s="460"/>
      <c r="K763" s="517"/>
      <c r="L763" s="460"/>
      <c r="M763" s="461"/>
      <c r="N763" s="461"/>
      <c r="O763" s="470"/>
      <c r="P763" s="568" t="str">
        <f>IF(LEFT(B763,5)="09735",
    IF(ISNA(VLOOKUP(Tabla13[[#This Row],[Apoyo]],'LM SAP'!A:G,1,FALSE)),
        "No Disponible",
        IF(VLOOKUP(Tabla13[[#This Row],[Apoyo]],'LM SAP'!A:AD,9,FALSE)="RR",
            "Disponible",
            "Firmas SAP"
        )
    ),
    "CONSULTAR"
)</f>
        <v>CONSULTAR</v>
      </c>
      <c r="Q763" s="460"/>
      <c r="S763" s="460"/>
      <c r="T763" s="465"/>
      <c r="X763" s="466"/>
    </row>
    <row r="764" spans="1:24" s="464" customFormat="1" ht="15" customHeight="1" x14ac:dyDescent="0.25">
      <c r="A764" s="453"/>
      <c r="B764" s="454"/>
      <c r="C764" s="469"/>
      <c r="D764" s="456"/>
      <c r="E764" s="457"/>
      <c r="F764" s="458"/>
      <c r="G764" s="459"/>
      <c r="H764" s="460"/>
      <c r="I764" s="460"/>
      <c r="J764" s="460"/>
      <c r="K764" s="517"/>
      <c r="L764" s="460"/>
      <c r="M764" s="461"/>
      <c r="N764" s="461"/>
      <c r="O764" s="470"/>
      <c r="P764" s="568" t="str">
        <f>IF(LEFT(B764,5)="09735",
    IF(ISNA(VLOOKUP(Tabla13[[#This Row],[Apoyo]],'LM SAP'!A:G,1,FALSE)),
        "No Disponible",
        IF(VLOOKUP(Tabla13[[#This Row],[Apoyo]],'LM SAP'!A:AD,9,FALSE)="RR",
            "Disponible",
            "Firmas SAP"
        )
    ),
    "CONSULTAR"
)</f>
        <v>CONSULTAR</v>
      </c>
      <c r="Q764" s="460"/>
      <c r="S764" s="460"/>
      <c r="T764" s="465"/>
      <c r="X764" s="466"/>
    </row>
    <row r="765" spans="1:24" s="464" customFormat="1" ht="15" customHeight="1" x14ac:dyDescent="0.25">
      <c r="A765" s="453"/>
      <c r="B765" s="454"/>
      <c r="C765" s="469"/>
      <c r="D765" s="456"/>
      <c r="E765" s="457"/>
      <c r="F765" s="458"/>
      <c r="G765" s="459"/>
      <c r="H765" s="460"/>
      <c r="I765" s="460"/>
      <c r="J765" s="460"/>
      <c r="K765" s="517"/>
      <c r="L765" s="460"/>
      <c r="M765" s="461"/>
      <c r="N765" s="461"/>
      <c r="O765" s="470"/>
      <c r="P765" s="568" t="str">
        <f>IF(LEFT(B765,5)="09735",
    IF(ISNA(VLOOKUP(Tabla13[[#This Row],[Apoyo]],'LM SAP'!A:G,1,FALSE)),
        "No Disponible",
        IF(VLOOKUP(Tabla13[[#This Row],[Apoyo]],'LM SAP'!A:AD,9,FALSE)="RR",
            "Disponible",
            "Firmas SAP"
        )
    ),
    "CONSULTAR"
)</f>
        <v>CONSULTAR</v>
      </c>
      <c r="Q765" s="460"/>
      <c r="S765" s="460"/>
      <c r="T765" s="465"/>
      <c r="X765" s="466"/>
    </row>
    <row r="766" spans="1:24" s="464" customFormat="1" ht="15" customHeight="1" x14ac:dyDescent="0.25">
      <c r="A766" s="453"/>
      <c r="B766" s="454"/>
      <c r="C766" s="469"/>
      <c r="D766" s="456"/>
      <c r="E766" s="457"/>
      <c r="F766" s="458"/>
      <c r="G766" s="459"/>
      <c r="H766" s="460"/>
      <c r="I766" s="460"/>
      <c r="J766" s="460"/>
      <c r="K766" s="517"/>
      <c r="L766" s="460"/>
      <c r="M766" s="461"/>
      <c r="N766" s="461"/>
      <c r="O766" s="470"/>
      <c r="P766" s="568" t="str">
        <f>IF(LEFT(B766,5)="09735",
    IF(ISNA(VLOOKUP(Tabla13[[#This Row],[Apoyo]],'LM SAP'!A:G,1,FALSE)),
        "No Disponible",
        IF(VLOOKUP(Tabla13[[#This Row],[Apoyo]],'LM SAP'!A:AD,9,FALSE)="RR",
            "Disponible",
            "Firmas SAP"
        )
    ),
    "CONSULTAR"
)</f>
        <v>CONSULTAR</v>
      </c>
      <c r="Q766" s="460"/>
      <c r="S766" s="460"/>
      <c r="T766" s="465"/>
      <c r="X766" s="466"/>
    </row>
    <row r="767" spans="1:24" s="464" customFormat="1" ht="15" customHeight="1" x14ac:dyDescent="0.25">
      <c r="A767" s="453"/>
      <c r="B767" s="454"/>
      <c r="C767" s="469"/>
      <c r="D767" s="456"/>
      <c r="E767" s="457"/>
      <c r="F767" s="458"/>
      <c r="G767" s="459"/>
      <c r="H767" s="460"/>
      <c r="I767" s="460"/>
      <c r="J767" s="460"/>
      <c r="K767" s="517"/>
      <c r="L767" s="460"/>
      <c r="M767" s="461"/>
      <c r="N767" s="461"/>
      <c r="O767" s="470"/>
      <c r="P767" s="568" t="str">
        <f>IF(LEFT(B767,5)="09735",
    IF(ISNA(VLOOKUP(Tabla13[[#This Row],[Apoyo]],'LM SAP'!A:G,1,FALSE)),
        "No Disponible",
        IF(VLOOKUP(Tabla13[[#This Row],[Apoyo]],'LM SAP'!A:AD,9,FALSE)="RR",
            "Disponible",
            "Firmas SAP"
        )
    ),
    "CONSULTAR"
)</f>
        <v>CONSULTAR</v>
      </c>
      <c r="Q767" s="460"/>
      <c r="S767" s="460"/>
      <c r="T767" s="465"/>
      <c r="X767" s="466"/>
    </row>
    <row r="768" spans="1:24" s="464" customFormat="1" ht="15" customHeight="1" x14ac:dyDescent="0.25">
      <c r="A768" s="453"/>
      <c r="B768" s="454"/>
      <c r="C768" s="469"/>
      <c r="D768" s="456"/>
      <c r="E768" s="457"/>
      <c r="F768" s="458"/>
      <c r="G768" s="459"/>
      <c r="H768" s="460"/>
      <c r="I768" s="460"/>
      <c r="J768" s="460"/>
      <c r="K768" s="517"/>
      <c r="L768" s="460"/>
      <c r="M768" s="461"/>
      <c r="N768" s="461"/>
      <c r="O768" s="470"/>
      <c r="P768" s="568" t="str">
        <f>IF(LEFT(B768,5)="09735",
    IF(ISNA(VLOOKUP(Tabla13[[#This Row],[Apoyo]],'LM SAP'!A:G,1,FALSE)),
        "No Disponible",
        IF(VLOOKUP(Tabla13[[#This Row],[Apoyo]],'LM SAP'!A:AD,9,FALSE)="RR",
            "Disponible",
            "Firmas SAP"
        )
    ),
    "CONSULTAR"
)</f>
        <v>CONSULTAR</v>
      </c>
      <c r="Q768" s="460"/>
      <c r="S768" s="460"/>
      <c r="T768" s="465"/>
      <c r="X768" s="466"/>
    </row>
    <row r="769" spans="1:24" s="464" customFormat="1" ht="15" customHeight="1" x14ac:dyDescent="0.25">
      <c r="A769" s="453"/>
      <c r="B769" s="454"/>
      <c r="C769" s="469"/>
      <c r="D769" s="456"/>
      <c r="E769" s="457"/>
      <c r="F769" s="458"/>
      <c r="G769" s="459"/>
      <c r="H769" s="460"/>
      <c r="I769" s="460"/>
      <c r="J769" s="460"/>
      <c r="K769" s="517"/>
      <c r="L769" s="460"/>
      <c r="M769" s="461"/>
      <c r="N769" s="461"/>
      <c r="O769" s="470"/>
      <c r="P769" s="568" t="str">
        <f>IF(LEFT(B769,5)="09735",
    IF(ISNA(VLOOKUP(Tabla13[[#This Row],[Apoyo]],'LM SAP'!A:G,1,FALSE)),
        "No Disponible",
        IF(VLOOKUP(Tabla13[[#This Row],[Apoyo]],'LM SAP'!A:AD,9,FALSE)="RR",
            "Disponible",
            "Firmas SAP"
        )
    ),
    "CONSULTAR"
)</f>
        <v>CONSULTAR</v>
      </c>
      <c r="Q769" s="460"/>
      <c r="S769" s="460"/>
      <c r="T769" s="465"/>
      <c r="X769" s="466"/>
    </row>
    <row r="770" spans="1:24" s="464" customFormat="1" ht="15" customHeight="1" x14ac:dyDescent="0.25">
      <c r="A770" s="453"/>
      <c r="B770" s="454"/>
      <c r="C770" s="469"/>
      <c r="D770" s="456"/>
      <c r="E770" s="457"/>
      <c r="F770" s="458"/>
      <c r="G770" s="459"/>
      <c r="H770" s="460"/>
      <c r="I770" s="460"/>
      <c r="J770" s="460"/>
      <c r="K770" s="517"/>
      <c r="L770" s="460"/>
      <c r="M770" s="461"/>
      <c r="N770" s="461"/>
      <c r="O770" s="470"/>
      <c r="P770" s="568" t="str">
        <f>IF(LEFT(B770,5)="09735",
    IF(ISNA(VLOOKUP(Tabla13[[#This Row],[Apoyo]],'LM SAP'!A:G,1,FALSE)),
        "No Disponible",
        IF(VLOOKUP(Tabla13[[#This Row],[Apoyo]],'LM SAP'!A:AD,9,FALSE)="RR",
            "Disponible",
            "Firmas SAP"
        )
    ),
    "CONSULTAR"
)</f>
        <v>CONSULTAR</v>
      </c>
      <c r="Q770" s="460"/>
      <c r="S770" s="460"/>
      <c r="T770" s="465"/>
      <c r="X770" s="466"/>
    </row>
    <row r="771" spans="1:24" s="464" customFormat="1" ht="15" customHeight="1" x14ac:dyDescent="0.25">
      <c r="A771" s="453"/>
      <c r="B771" s="454"/>
      <c r="C771" s="469"/>
      <c r="D771" s="456"/>
      <c r="E771" s="457"/>
      <c r="F771" s="458"/>
      <c r="G771" s="459"/>
      <c r="H771" s="460"/>
      <c r="I771" s="460"/>
      <c r="J771" s="460"/>
      <c r="K771" s="517"/>
      <c r="L771" s="460"/>
      <c r="M771" s="461"/>
      <c r="N771" s="461"/>
      <c r="O771" s="470"/>
      <c r="P771" s="568" t="str">
        <f>IF(LEFT(B771,5)="09735",
    IF(ISNA(VLOOKUP(Tabla13[[#This Row],[Apoyo]],'LM SAP'!A:G,1,FALSE)),
        "No Disponible",
        IF(VLOOKUP(Tabla13[[#This Row],[Apoyo]],'LM SAP'!A:AD,9,FALSE)="RR",
            "Disponible",
            "Firmas SAP"
        )
    ),
    "CONSULTAR"
)</f>
        <v>CONSULTAR</v>
      </c>
      <c r="Q771" s="460"/>
      <c r="S771" s="460"/>
      <c r="T771" s="465"/>
      <c r="X771" s="466"/>
    </row>
    <row r="772" spans="1:24" s="464" customFormat="1" ht="15" customHeight="1" x14ac:dyDescent="0.25">
      <c r="A772" s="453"/>
      <c r="B772" s="454"/>
      <c r="C772" s="469"/>
      <c r="D772" s="456"/>
      <c r="E772" s="457"/>
      <c r="F772" s="458"/>
      <c r="G772" s="459"/>
      <c r="H772" s="460"/>
      <c r="I772" s="460"/>
      <c r="J772" s="460"/>
      <c r="K772" s="517"/>
      <c r="L772" s="460"/>
      <c r="M772" s="461"/>
      <c r="N772" s="461"/>
      <c r="O772" s="470"/>
      <c r="P772" s="568" t="str">
        <f>IF(LEFT(B772,5)="09735",
    IF(ISNA(VLOOKUP(Tabla13[[#This Row],[Apoyo]],'LM SAP'!A:G,1,FALSE)),
        "No Disponible",
        IF(VLOOKUP(Tabla13[[#This Row],[Apoyo]],'LM SAP'!A:AD,9,FALSE)="RR",
            "Disponible",
            "Firmas SAP"
        )
    ),
    "CONSULTAR"
)</f>
        <v>CONSULTAR</v>
      </c>
      <c r="Q772" s="460"/>
      <c r="S772" s="460"/>
      <c r="T772" s="465"/>
      <c r="X772" s="466"/>
    </row>
    <row r="773" spans="1:24" s="464" customFormat="1" ht="15" customHeight="1" x14ac:dyDescent="0.25">
      <c r="A773" s="453"/>
      <c r="B773" s="454"/>
      <c r="C773" s="469"/>
      <c r="D773" s="456"/>
      <c r="E773" s="457"/>
      <c r="F773" s="458"/>
      <c r="G773" s="459"/>
      <c r="H773" s="460"/>
      <c r="I773" s="460"/>
      <c r="J773" s="460"/>
      <c r="K773" s="517"/>
      <c r="L773" s="460"/>
      <c r="M773" s="461"/>
      <c r="N773" s="461"/>
      <c r="O773" s="470"/>
      <c r="P773" s="568" t="str">
        <f>IF(LEFT(B773,5)="09735",
    IF(ISNA(VLOOKUP(Tabla13[[#This Row],[Apoyo]],'LM SAP'!A:G,1,FALSE)),
        "No Disponible",
        IF(VLOOKUP(Tabla13[[#This Row],[Apoyo]],'LM SAP'!A:AD,9,FALSE)="RR",
            "Disponible",
            "Firmas SAP"
        )
    ),
    "CONSULTAR"
)</f>
        <v>CONSULTAR</v>
      </c>
      <c r="Q773" s="460"/>
      <c r="S773" s="460"/>
      <c r="T773" s="465"/>
      <c r="X773" s="466"/>
    </row>
    <row r="774" spans="1:24" s="464" customFormat="1" ht="15" customHeight="1" x14ac:dyDescent="0.25">
      <c r="A774" s="453"/>
      <c r="B774" s="454"/>
      <c r="C774" s="469"/>
      <c r="D774" s="456"/>
      <c r="E774" s="457"/>
      <c r="F774" s="458"/>
      <c r="G774" s="459"/>
      <c r="H774" s="460"/>
      <c r="I774" s="460"/>
      <c r="J774" s="460"/>
      <c r="K774" s="517"/>
      <c r="L774" s="460"/>
      <c r="M774" s="461"/>
      <c r="N774" s="461"/>
      <c r="O774" s="470"/>
      <c r="P774" s="568" t="str">
        <f>IF(LEFT(B774,5)="09735",
    IF(ISNA(VLOOKUP(Tabla13[[#This Row],[Apoyo]],'LM SAP'!A:G,1,FALSE)),
        "No Disponible",
        IF(VLOOKUP(Tabla13[[#This Row],[Apoyo]],'LM SAP'!A:AD,9,FALSE)="RR",
            "Disponible",
            "Firmas SAP"
        )
    ),
    "CONSULTAR"
)</f>
        <v>CONSULTAR</v>
      </c>
      <c r="Q774" s="460"/>
      <c r="S774" s="460"/>
      <c r="T774" s="465"/>
      <c r="X774" s="466"/>
    </row>
    <row r="775" spans="1:24" s="464" customFormat="1" ht="15" customHeight="1" x14ac:dyDescent="0.25">
      <c r="A775" s="453"/>
      <c r="B775" s="454"/>
      <c r="C775" s="469"/>
      <c r="D775" s="456"/>
      <c r="E775" s="457"/>
      <c r="F775" s="458"/>
      <c r="G775" s="459"/>
      <c r="H775" s="460"/>
      <c r="I775" s="460"/>
      <c r="J775" s="460"/>
      <c r="K775" s="517"/>
      <c r="L775" s="460"/>
      <c r="M775" s="461"/>
      <c r="N775" s="461"/>
      <c r="O775" s="470"/>
      <c r="P775" s="568" t="str">
        <f>IF(LEFT(B775,5)="09735",
    IF(ISNA(VLOOKUP(Tabla13[[#This Row],[Apoyo]],'LM SAP'!A:G,1,FALSE)),
        "No Disponible",
        IF(VLOOKUP(Tabla13[[#This Row],[Apoyo]],'LM SAP'!A:AD,9,FALSE)="RR",
            "Disponible",
            "Firmas SAP"
        )
    ),
    "CONSULTAR"
)</f>
        <v>CONSULTAR</v>
      </c>
      <c r="Q775" s="460"/>
      <c r="S775" s="460"/>
      <c r="T775" s="465"/>
      <c r="X775" s="466"/>
    </row>
    <row r="776" spans="1:24" s="464" customFormat="1" ht="15" customHeight="1" x14ac:dyDescent="0.25">
      <c r="A776" s="453"/>
      <c r="B776" s="454"/>
      <c r="C776" s="469"/>
      <c r="D776" s="456"/>
      <c r="E776" s="457"/>
      <c r="F776" s="458"/>
      <c r="G776" s="459"/>
      <c r="H776" s="460"/>
      <c r="I776" s="460"/>
      <c r="J776" s="460"/>
      <c r="K776" s="517"/>
      <c r="L776" s="460"/>
      <c r="M776" s="461"/>
      <c r="N776" s="461"/>
      <c r="O776" s="470"/>
      <c r="P776" s="568" t="str">
        <f>IF(LEFT(B776,5)="09735",
    IF(ISNA(VLOOKUP(Tabla13[[#This Row],[Apoyo]],'LM SAP'!A:G,1,FALSE)),
        "No Disponible",
        IF(VLOOKUP(Tabla13[[#This Row],[Apoyo]],'LM SAP'!A:AD,9,FALSE)="RR",
            "Disponible",
            "Firmas SAP"
        )
    ),
    "CONSULTAR"
)</f>
        <v>CONSULTAR</v>
      </c>
      <c r="Q776" s="460"/>
      <c r="S776" s="460"/>
      <c r="T776" s="465"/>
      <c r="X776" s="466"/>
    </row>
    <row r="777" spans="1:24" s="464" customFormat="1" ht="15" customHeight="1" x14ac:dyDescent="0.25">
      <c r="A777" s="453"/>
      <c r="B777" s="454"/>
      <c r="C777" s="469"/>
      <c r="D777" s="456"/>
      <c r="E777" s="457"/>
      <c r="F777" s="458"/>
      <c r="G777" s="459"/>
      <c r="H777" s="460"/>
      <c r="I777" s="460"/>
      <c r="J777" s="460"/>
      <c r="K777" s="517"/>
      <c r="L777" s="460"/>
      <c r="M777" s="461"/>
      <c r="N777" s="461"/>
      <c r="O777" s="470"/>
      <c r="P777" s="568" t="str">
        <f>IF(LEFT(B777,5)="09735",
    IF(ISNA(VLOOKUP(Tabla13[[#This Row],[Apoyo]],'LM SAP'!A:G,1,FALSE)),
        "No Disponible",
        IF(VLOOKUP(Tabla13[[#This Row],[Apoyo]],'LM SAP'!A:AD,9,FALSE)="RR",
            "Disponible",
            "Firmas SAP"
        )
    ),
    "CONSULTAR"
)</f>
        <v>CONSULTAR</v>
      </c>
      <c r="Q777" s="460"/>
      <c r="S777" s="460"/>
      <c r="T777" s="465"/>
      <c r="X777" s="466"/>
    </row>
    <row r="778" spans="1:24" s="464" customFormat="1" ht="15" customHeight="1" x14ac:dyDescent="0.25">
      <c r="A778" s="453"/>
      <c r="B778" s="454"/>
      <c r="C778" s="469"/>
      <c r="D778" s="456"/>
      <c r="E778" s="457"/>
      <c r="F778" s="458"/>
      <c r="G778" s="459"/>
      <c r="H778" s="460"/>
      <c r="I778" s="460"/>
      <c r="J778" s="460"/>
      <c r="K778" s="517"/>
      <c r="L778" s="460"/>
      <c r="M778" s="461"/>
      <c r="N778" s="461"/>
      <c r="O778" s="470"/>
      <c r="P778" s="568" t="str">
        <f>IF(LEFT(B778,5)="09735",
    IF(ISNA(VLOOKUP(Tabla13[[#This Row],[Apoyo]],'LM SAP'!A:G,1,FALSE)),
        "No Disponible",
        IF(VLOOKUP(Tabla13[[#This Row],[Apoyo]],'LM SAP'!A:AD,9,FALSE)="RR",
            "Disponible",
            "Firmas SAP"
        )
    ),
    "CONSULTAR"
)</f>
        <v>CONSULTAR</v>
      </c>
      <c r="Q778" s="460"/>
      <c r="S778" s="460"/>
      <c r="T778" s="465"/>
      <c r="X778" s="466"/>
    </row>
    <row r="779" spans="1:24" s="464" customFormat="1" ht="15" customHeight="1" x14ac:dyDescent="0.25">
      <c r="A779" s="453"/>
      <c r="B779" s="454"/>
      <c r="C779" s="469"/>
      <c r="D779" s="456"/>
      <c r="E779" s="457"/>
      <c r="F779" s="458"/>
      <c r="G779" s="459"/>
      <c r="H779" s="460"/>
      <c r="I779" s="460"/>
      <c r="J779" s="460"/>
      <c r="K779" s="517"/>
      <c r="L779" s="460"/>
      <c r="M779" s="461"/>
      <c r="N779" s="461"/>
      <c r="O779" s="470"/>
      <c r="P779" s="568" t="str">
        <f>IF(LEFT(B779,5)="09735",
    IF(ISNA(VLOOKUP(Tabla13[[#This Row],[Apoyo]],'LM SAP'!A:G,1,FALSE)),
        "No Disponible",
        IF(VLOOKUP(Tabla13[[#This Row],[Apoyo]],'LM SAP'!A:AD,9,FALSE)="RR",
            "Disponible",
            "Firmas SAP"
        )
    ),
    "CONSULTAR"
)</f>
        <v>CONSULTAR</v>
      </c>
      <c r="Q779" s="460"/>
      <c r="S779" s="460"/>
      <c r="T779" s="465"/>
      <c r="X779" s="466"/>
    </row>
    <row r="780" spans="1:24" s="464" customFormat="1" ht="15" customHeight="1" x14ac:dyDescent="0.25">
      <c r="A780" s="453"/>
      <c r="B780" s="454"/>
      <c r="C780" s="469"/>
      <c r="D780" s="456"/>
      <c r="E780" s="457"/>
      <c r="F780" s="458"/>
      <c r="G780" s="459"/>
      <c r="H780" s="460"/>
      <c r="I780" s="460"/>
      <c r="J780" s="460"/>
      <c r="K780" s="517"/>
      <c r="L780" s="460"/>
      <c r="M780" s="461"/>
      <c r="N780" s="461"/>
      <c r="O780" s="470"/>
      <c r="P780" s="568" t="str">
        <f>IF(LEFT(B780,5)="09735",
    IF(ISNA(VLOOKUP(Tabla13[[#This Row],[Apoyo]],'LM SAP'!A:G,1,FALSE)),
        "No Disponible",
        IF(VLOOKUP(Tabla13[[#This Row],[Apoyo]],'LM SAP'!A:AD,9,FALSE)="RR",
            "Disponible",
            "Firmas SAP"
        )
    ),
    "CONSULTAR"
)</f>
        <v>CONSULTAR</v>
      </c>
      <c r="Q780" s="460"/>
      <c r="S780" s="460"/>
      <c r="T780" s="465"/>
      <c r="X780" s="466"/>
    </row>
    <row r="781" spans="1:24" s="464" customFormat="1" ht="15" customHeight="1" x14ac:dyDescent="0.25">
      <c r="A781" s="453"/>
      <c r="B781" s="454"/>
      <c r="C781" s="469"/>
      <c r="D781" s="456"/>
      <c r="E781" s="457"/>
      <c r="F781" s="458"/>
      <c r="G781" s="459"/>
      <c r="H781" s="460"/>
      <c r="I781" s="460"/>
      <c r="J781" s="460"/>
      <c r="K781" s="517"/>
      <c r="L781" s="460"/>
      <c r="M781" s="461"/>
      <c r="N781" s="461"/>
      <c r="O781" s="470"/>
      <c r="P781" s="568" t="str">
        <f>IF(LEFT(B781,5)="09735",
    IF(ISNA(VLOOKUP(Tabla13[[#This Row],[Apoyo]],'LM SAP'!A:G,1,FALSE)),
        "No Disponible",
        IF(VLOOKUP(Tabla13[[#This Row],[Apoyo]],'LM SAP'!A:AD,9,FALSE)="RR",
            "Disponible",
            "Firmas SAP"
        )
    ),
    "CONSULTAR"
)</f>
        <v>CONSULTAR</v>
      </c>
      <c r="Q781" s="460"/>
      <c r="S781" s="460"/>
      <c r="T781" s="465"/>
      <c r="X781" s="466"/>
    </row>
    <row r="782" spans="1:24" s="464" customFormat="1" ht="15" customHeight="1" x14ac:dyDescent="0.25">
      <c r="A782" s="453"/>
      <c r="B782" s="454"/>
      <c r="C782" s="469"/>
      <c r="D782" s="456"/>
      <c r="E782" s="457"/>
      <c r="F782" s="458"/>
      <c r="G782" s="459"/>
      <c r="H782" s="460"/>
      <c r="I782" s="460"/>
      <c r="J782" s="460"/>
      <c r="K782" s="517"/>
      <c r="L782" s="460"/>
      <c r="M782" s="461"/>
      <c r="N782" s="461"/>
      <c r="O782" s="470"/>
      <c r="P782" s="568" t="str">
        <f>IF(LEFT(B782,5)="09735",
    IF(ISNA(VLOOKUP(Tabla13[[#This Row],[Apoyo]],'LM SAP'!A:G,1,FALSE)),
        "No Disponible",
        IF(VLOOKUP(Tabla13[[#This Row],[Apoyo]],'LM SAP'!A:AD,9,FALSE)="RR",
            "Disponible",
            "Firmas SAP"
        )
    ),
    "CONSULTAR"
)</f>
        <v>CONSULTAR</v>
      </c>
      <c r="Q782" s="460"/>
      <c r="S782" s="460"/>
      <c r="T782" s="465"/>
      <c r="X782" s="466"/>
    </row>
    <row r="783" spans="1:24" s="464" customFormat="1" ht="15" customHeight="1" x14ac:dyDescent="0.25">
      <c r="A783" s="453"/>
      <c r="B783" s="454"/>
      <c r="C783" s="469"/>
      <c r="D783" s="456"/>
      <c r="E783" s="457"/>
      <c r="F783" s="458"/>
      <c r="G783" s="459"/>
      <c r="H783" s="460"/>
      <c r="I783" s="460"/>
      <c r="J783" s="460"/>
      <c r="K783" s="517"/>
      <c r="L783" s="460"/>
      <c r="M783" s="461"/>
      <c r="N783" s="461"/>
      <c r="O783" s="470"/>
      <c r="P783" s="568" t="str">
        <f>IF(LEFT(B783,5)="09735",
    IF(ISNA(VLOOKUP(Tabla13[[#This Row],[Apoyo]],'LM SAP'!A:G,1,FALSE)),
        "No Disponible",
        IF(VLOOKUP(Tabla13[[#This Row],[Apoyo]],'LM SAP'!A:AD,9,FALSE)="RR",
            "Disponible",
            "Firmas SAP"
        )
    ),
    "CONSULTAR"
)</f>
        <v>CONSULTAR</v>
      </c>
      <c r="Q783" s="460"/>
      <c r="S783" s="460"/>
      <c r="T783" s="465"/>
      <c r="X783" s="466"/>
    </row>
    <row r="784" spans="1:24" s="464" customFormat="1" ht="15" customHeight="1" x14ac:dyDescent="0.25">
      <c r="A784" s="453"/>
      <c r="B784" s="454"/>
      <c r="C784" s="469"/>
      <c r="D784" s="456"/>
      <c r="E784" s="457"/>
      <c r="F784" s="458"/>
      <c r="G784" s="459"/>
      <c r="H784" s="460"/>
      <c r="I784" s="460"/>
      <c r="J784" s="460"/>
      <c r="K784" s="517"/>
      <c r="L784" s="460"/>
      <c r="M784" s="461"/>
      <c r="N784" s="461"/>
      <c r="O784" s="470"/>
      <c r="P784" s="568" t="str">
        <f>IF(LEFT(B784,5)="09735",
    IF(ISNA(VLOOKUP(Tabla13[[#This Row],[Apoyo]],'LM SAP'!A:G,1,FALSE)),
        "No Disponible",
        IF(VLOOKUP(Tabla13[[#This Row],[Apoyo]],'LM SAP'!A:AD,9,FALSE)="RR",
            "Disponible",
            "Firmas SAP"
        )
    ),
    "CONSULTAR"
)</f>
        <v>CONSULTAR</v>
      </c>
      <c r="Q784" s="460"/>
      <c r="S784" s="460"/>
      <c r="T784" s="465"/>
      <c r="X784" s="466"/>
    </row>
    <row r="785" spans="1:24" s="464" customFormat="1" ht="15" customHeight="1" x14ac:dyDescent="0.25">
      <c r="A785" s="453"/>
      <c r="B785" s="454"/>
      <c r="C785" s="469"/>
      <c r="D785" s="456"/>
      <c r="E785" s="457"/>
      <c r="F785" s="458"/>
      <c r="G785" s="459"/>
      <c r="H785" s="460"/>
      <c r="I785" s="460"/>
      <c r="J785" s="460"/>
      <c r="K785" s="517"/>
      <c r="L785" s="460"/>
      <c r="M785" s="461"/>
      <c r="N785" s="461"/>
      <c r="O785" s="470"/>
      <c r="P785" s="568" t="str">
        <f>IF(LEFT(B785,5)="09735",
    IF(ISNA(VLOOKUP(Tabla13[[#This Row],[Apoyo]],'LM SAP'!A:G,1,FALSE)),
        "No Disponible",
        IF(VLOOKUP(Tabla13[[#This Row],[Apoyo]],'LM SAP'!A:AD,9,FALSE)="RR",
            "Disponible",
            "Firmas SAP"
        )
    ),
    "CONSULTAR"
)</f>
        <v>CONSULTAR</v>
      </c>
      <c r="Q785" s="460"/>
      <c r="S785" s="460"/>
      <c r="T785" s="465"/>
      <c r="X785" s="466"/>
    </row>
    <row r="786" spans="1:24" s="464" customFormat="1" ht="15" customHeight="1" x14ac:dyDescent="0.25">
      <c r="A786" s="453"/>
      <c r="B786" s="454"/>
      <c r="C786" s="469"/>
      <c r="D786" s="456"/>
      <c r="E786" s="457"/>
      <c r="F786" s="458"/>
      <c r="G786" s="459"/>
      <c r="H786" s="460"/>
      <c r="I786" s="460"/>
      <c r="J786" s="460"/>
      <c r="K786" s="517"/>
      <c r="L786" s="460"/>
      <c r="M786" s="461"/>
      <c r="N786" s="461"/>
      <c r="O786" s="470"/>
      <c r="P786" s="568" t="str">
        <f>IF(LEFT(B786,5)="09735",
    IF(ISNA(VLOOKUP(Tabla13[[#This Row],[Apoyo]],'LM SAP'!A:G,1,FALSE)),
        "No Disponible",
        IF(VLOOKUP(Tabla13[[#This Row],[Apoyo]],'LM SAP'!A:AD,9,FALSE)="RR",
            "Disponible",
            "Firmas SAP"
        )
    ),
    "CONSULTAR"
)</f>
        <v>CONSULTAR</v>
      </c>
      <c r="Q786" s="460"/>
      <c r="S786" s="460"/>
      <c r="T786" s="465"/>
      <c r="X786" s="466"/>
    </row>
    <row r="787" spans="1:24" s="464" customFormat="1" ht="15" customHeight="1" x14ac:dyDescent="0.25">
      <c r="A787" s="453"/>
      <c r="B787" s="454"/>
      <c r="C787" s="469"/>
      <c r="D787" s="456"/>
      <c r="E787" s="457"/>
      <c r="F787" s="458"/>
      <c r="G787" s="459"/>
      <c r="H787" s="460"/>
      <c r="I787" s="460"/>
      <c r="J787" s="460"/>
      <c r="K787" s="517"/>
      <c r="L787" s="460"/>
      <c r="M787" s="461"/>
      <c r="N787" s="461"/>
      <c r="O787" s="470"/>
      <c r="P787" s="568" t="str">
        <f>IF(LEFT(B787,5)="09735",
    IF(ISNA(VLOOKUP(Tabla13[[#This Row],[Apoyo]],'LM SAP'!A:G,1,FALSE)),
        "No Disponible",
        IF(VLOOKUP(Tabla13[[#This Row],[Apoyo]],'LM SAP'!A:AD,9,FALSE)="RR",
            "Disponible",
            "Firmas SAP"
        )
    ),
    "CONSULTAR"
)</f>
        <v>CONSULTAR</v>
      </c>
      <c r="Q787" s="460"/>
      <c r="S787" s="460"/>
      <c r="T787" s="465"/>
      <c r="X787" s="466"/>
    </row>
    <row r="788" spans="1:24" s="464" customFormat="1" ht="15" customHeight="1" x14ac:dyDescent="0.25">
      <c r="A788" s="453"/>
      <c r="B788" s="454"/>
      <c r="C788" s="469"/>
      <c r="D788" s="456"/>
      <c r="E788" s="457"/>
      <c r="F788" s="458"/>
      <c r="G788" s="459"/>
      <c r="H788" s="460"/>
      <c r="I788" s="460"/>
      <c r="J788" s="460"/>
      <c r="K788" s="517"/>
      <c r="L788" s="460"/>
      <c r="M788" s="461"/>
      <c r="N788" s="461"/>
      <c r="O788" s="470"/>
      <c r="P788" s="568" t="str">
        <f>IF(LEFT(B788,5)="09735",
    IF(ISNA(VLOOKUP(Tabla13[[#This Row],[Apoyo]],'LM SAP'!A:G,1,FALSE)),
        "No Disponible",
        IF(VLOOKUP(Tabla13[[#This Row],[Apoyo]],'LM SAP'!A:AD,9,FALSE)="RR",
            "Disponible",
            "Firmas SAP"
        )
    ),
    "CONSULTAR"
)</f>
        <v>CONSULTAR</v>
      </c>
      <c r="Q788" s="460"/>
      <c r="S788" s="460"/>
      <c r="T788" s="465"/>
      <c r="X788" s="466"/>
    </row>
    <row r="789" spans="1:24" s="464" customFormat="1" ht="15" customHeight="1" x14ac:dyDescent="0.25">
      <c r="A789" s="453"/>
      <c r="B789" s="454"/>
      <c r="C789" s="469"/>
      <c r="D789" s="456"/>
      <c r="E789" s="457"/>
      <c r="F789" s="458"/>
      <c r="G789" s="459"/>
      <c r="H789" s="460"/>
      <c r="I789" s="460"/>
      <c r="J789" s="460"/>
      <c r="K789" s="517"/>
      <c r="L789" s="460"/>
      <c r="M789" s="461"/>
      <c r="N789" s="461"/>
      <c r="O789" s="470"/>
      <c r="P789" s="568" t="str">
        <f>IF(LEFT(B789,5)="09735",
    IF(ISNA(VLOOKUP(Tabla13[[#This Row],[Apoyo]],'LM SAP'!A:G,1,FALSE)),
        "No Disponible",
        IF(VLOOKUP(Tabla13[[#This Row],[Apoyo]],'LM SAP'!A:AD,9,FALSE)="RR",
            "Disponible",
            "Firmas SAP"
        )
    ),
    "CONSULTAR"
)</f>
        <v>CONSULTAR</v>
      </c>
      <c r="Q789" s="460"/>
      <c r="S789" s="460"/>
      <c r="T789" s="465"/>
      <c r="X789" s="466"/>
    </row>
    <row r="790" spans="1:24" s="464" customFormat="1" ht="15" customHeight="1" x14ac:dyDescent="0.25">
      <c r="A790" s="453"/>
      <c r="B790" s="454"/>
      <c r="C790" s="469"/>
      <c r="D790" s="456"/>
      <c r="E790" s="457"/>
      <c r="F790" s="458"/>
      <c r="G790" s="459"/>
      <c r="H790" s="460"/>
      <c r="I790" s="460"/>
      <c r="J790" s="460"/>
      <c r="K790" s="517"/>
      <c r="L790" s="460"/>
      <c r="M790" s="461"/>
      <c r="N790" s="461"/>
      <c r="O790" s="470"/>
      <c r="P790" s="568" t="str">
        <f>IF(LEFT(B790,5)="09735",
    IF(ISNA(VLOOKUP(Tabla13[[#This Row],[Apoyo]],'LM SAP'!A:G,1,FALSE)),
        "No Disponible",
        IF(VLOOKUP(Tabla13[[#This Row],[Apoyo]],'LM SAP'!A:AD,9,FALSE)="RR",
            "Disponible",
            "Firmas SAP"
        )
    ),
    "CONSULTAR"
)</f>
        <v>CONSULTAR</v>
      </c>
      <c r="Q790" s="460"/>
      <c r="S790" s="460"/>
      <c r="T790" s="465"/>
      <c r="X790" s="466"/>
    </row>
    <row r="791" spans="1:24" s="464" customFormat="1" ht="15" customHeight="1" x14ac:dyDescent="0.25">
      <c r="A791" s="453"/>
      <c r="B791" s="454"/>
      <c r="C791" s="469"/>
      <c r="D791" s="456"/>
      <c r="E791" s="457"/>
      <c r="F791" s="458"/>
      <c r="G791" s="459"/>
      <c r="H791" s="460"/>
      <c r="I791" s="460"/>
      <c r="J791" s="460"/>
      <c r="K791" s="517"/>
      <c r="L791" s="460"/>
      <c r="M791" s="461"/>
      <c r="N791" s="461"/>
      <c r="O791" s="470"/>
      <c r="P791" s="568" t="str">
        <f>IF(LEFT(B791,5)="09735",
    IF(ISNA(VLOOKUP(Tabla13[[#This Row],[Apoyo]],'LM SAP'!A:G,1,FALSE)),
        "No Disponible",
        IF(VLOOKUP(Tabla13[[#This Row],[Apoyo]],'LM SAP'!A:AD,9,FALSE)="RR",
            "Disponible",
            "Firmas SAP"
        )
    ),
    "CONSULTAR"
)</f>
        <v>CONSULTAR</v>
      </c>
      <c r="Q791" s="460"/>
      <c r="S791" s="460"/>
      <c r="T791" s="465"/>
      <c r="X791" s="466"/>
    </row>
    <row r="792" spans="1:24" s="464" customFormat="1" ht="15" customHeight="1" x14ac:dyDescent="0.25">
      <c r="A792" s="453"/>
      <c r="B792" s="454"/>
      <c r="C792" s="469"/>
      <c r="D792" s="456"/>
      <c r="E792" s="457"/>
      <c r="F792" s="458"/>
      <c r="G792" s="459"/>
      <c r="H792" s="460"/>
      <c r="I792" s="460"/>
      <c r="J792" s="460"/>
      <c r="K792" s="517"/>
      <c r="L792" s="460"/>
      <c r="M792" s="461"/>
      <c r="N792" s="461"/>
      <c r="O792" s="470"/>
      <c r="P792" s="568" t="str">
        <f>IF(LEFT(B792,5)="09735",
    IF(ISNA(VLOOKUP(Tabla13[[#This Row],[Apoyo]],'LM SAP'!A:G,1,FALSE)),
        "No Disponible",
        IF(VLOOKUP(Tabla13[[#This Row],[Apoyo]],'LM SAP'!A:AD,9,FALSE)="RR",
            "Disponible",
            "Firmas SAP"
        )
    ),
    "CONSULTAR"
)</f>
        <v>CONSULTAR</v>
      </c>
      <c r="Q792" s="460"/>
      <c r="S792" s="460"/>
      <c r="T792" s="465"/>
      <c r="X792" s="466"/>
    </row>
    <row r="793" spans="1:24" s="464" customFormat="1" ht="15" customHeight="1" x14ac:dyDescent="0.25">
      <c r="A793" s="453"/>
      <c r="B793" s="454"/>
      <c r="C793" s="469"/>
      <c r="D793" s="456"/>
      <c r="E793" s="457"/>
      <c r="F793" s="458"/>
      <c r="G793" s="459"/>
      <c r="H793" s="460"/>
      <c r="I793" s="460"/>
      <c r="J793" s="460"/>
      <c r="K793" s="517"/>
      <c r="L793" s="460"/>
      <c r="M793" s="461"/>
      <c r="N793" s="461"/>
      <c r="O793" s="470"/>
      <c r="P793" s="568" t="str">
        <f>IF(LEFT(B793,5)="09735",
    IF(ISNA(VLOOKUP(Tabla13[[#This Row],[Apoyo]],'LM SAP'!A:G,1,FALSE)),
        "No Disponible",
        IF(VLOOKUP(Tabla13[[#This Row],[Apoyo]],'LM SAP'!A:AD,9,FALSE)="RR",
            "Disponible",
            "Firmas SAP"
        )
    ),
    "CONSULTAR"
)</f>
        <v>CONSULTAR</v>
      </c>
      <c r="Q793" s="460"/>
      <c r="S793" s="460"/>
      <c r="T793" s="465"/>
      <c r="X793" s="466"/>
    </row>
    <row r="794" spans="1:24" s="464" customFormat="1" ht="15" customHeight="1" x14ac:dyDescent="0.25">
      <c r="A794" s="453"/>
      <c r="B794" s="454"/>
      <c r="C794" s="469"/>
      <c r="D794" s="456"/>
      <c r="E794" s="457"/>
      <c r="F794" s="458"/>
      <c r="G794" s="459"/>
      <c r="H794" s="460"/>
      <c r="I794" s="460"/>
      <c r="J794" s="460"/>
      <c r="K794" s="517"/>
      <c r="L794" s="460"/>
      <c r="M794" s="461"/>
      <c r="N794" s="461"/>
      <c r="O794" s="470"/>
      <c r="P794" s="568" t="str">
        <f>IF(LEFT(B794,5)="09735",
    IF(ISNA(VLOOKUP(Tabla13[[#This Row],[Apoyo]],'LM SAP'!A:G,1,FALSE)),
        "No Disponible",
        IF(VLOOKUP(Tabla13[[#This Row],[Apoyo]],'LM SAP'!A:AD,9,FALSE)="RR",
            "Disponible",
            "Firmas SAP"
        )
    ),
    "CONSULTAR"
)</f>
        <v>CONSULTAR</v>
      </c>
      <c r="Q794" s="460"/>
      <c r="S794" s="460"/>
      <c r="T794" s="465"/>
      <c r="X794" s="466"/>
    </row>
    <row r="795" spans="1:24" s="464" customFormat="1" ht="15" customHeight="1" x14ac:dyDescent="0.25">
      <c r="A795" s="453"/>
      <c r="B795" s="454"/>
      <c r="C795" s="469"/>
      <c r="D795" s="456"/>
      <c r="E795" s="457"/>
      <c r="F795" s="458"/>
      <c r="G795" s="459"/>
      <c r="H795" s="460"/>
      <c r="I795" s="460"/>
      <c r="J795" s="460"/>
      <c r="K795" s="517"/>
      <c r="L795" s="460"/>
      <c r="M795" s="461"/>
      <c r="N795" s="461"/>
      <c r="O795" s="470"/>
      <c r="P795" s="568" t="str">
        <f>IF(LEFT(B795,5)="09735",
    IF(ISNA(VLOOKUP(Tabla13[[#This Row],[Apoyo]],'LM SAP'!A:G,1,FALSE)),
        "No Disponible",
        IF(VLOOKUP(Tabla13[[#This Row],[Apoyo]],'LM SAP'!A:AD,9,FALSE)="RR",
            "Disponible",
            "Firmas SAP"
        )
    ),
    "CONSULTAR"
)</f>
        <v>CONSULTAR</v>
      </c>
      <c r="Q795" s="460"/>
      <c r="S795" s="460"/>
      <c r="T795" s="465"/>
      <c r="X795" s="466"/>
    </row>
    <row r="796" spans="1:24" s="464" customFormat="1" ht="15" customHeight="1" x14ac:dyDescent="0.25">
      <c r="A796" s="453"/>
      <c r="B796" s="454"/>
      <c r="C796" s="469"/>
      <c r="D796" s="456"/>
      <c r="E796" s="457"/>
      <c r="F796" s="458"/>
      <c r="G796" s="459"/>
      <c r="H796" s="460"/>
      <c r="I796" s="460"/>
      <c r="J796" s="460"/>
      <c r="K796" s="517"/>
      <c r="L796" s="460"/>
      <c r="M796" s="461"/>
      <c r="N796" s="461"/>
      <c r="O796" s="470"/>
      <c r="P796" s="568" t="str">
        <f>IF(LEFT(B796,5)="09735",
    IF(ISNA(VLOOKUP(Tabla13[[#This Row],[Apoyo]],'LM SAP'!A:G,1,FALSE)),
        "No Disponible",
        IF(VLOOKUP(Tabla13[[#This Row],[Apoyo]],'LM SAP'!A:AD,9,FALSE)="RR",
            "Disponible",
            "Firmas SAP"
        )
    ),
    "CONSULTAR"
)</f>
        <v>CONSULTAR</v>
      </c>
      <c r="Q796" s="460"/>
      <c r="S796" s="460"/>
      <c r="T796" s="465"/>
      <c r="X796" s="466"/>
    </row>
    <row r="797" spans="1:24" s="464" customFormat="1" ht="15" customHeight="1" x14ac:dyDescent="0.25">
      <c r="A797" s="453"/>
      <c r="B797" s="454"/>
      <c r="C797" s="469"/>
      <c r="D797" s="456"/>
      <c r="E797" s="457"/>
      <c r="F797" s="458"/>
      <c r="G797" s="459"/>
      <c r="H797" s="460"/>
      <c r="I797" s="460"/>
      <c r="J797" s="460"/>
      <c r="K797" s="517"/>
      <c r="L797" s="460"/>
      <c r="M797" s="461"/>
      <c r="N797" s="461"/>
      <c r="O797" s="470"/>
      <c r="P797" s="568" t="str">
        <f>IF(LEFT(B797,5)="09735",
    IF(ISNA(VLOOKUP(Tabla13[[#This Row],[Apoyo]],'LM SAP'!A:G,1,FALSE)),
        "No Disponible",
        IF(VLOOKUP(Tabla13[[#This Row],[Apoyo]],'LM SAP'!A:AD,9,FALSE)="RR",
            "Disponible",
            "Firmas SAP"
        )
    ),
    "CONSULTAR"
)</f>
        <v>CONSULTAR</v>
      </c>
      <c r="Q797" s="460"/>
      <c r="S797" s="460"/>
      <c r="T797" s="465"/>
      <c r="X797" s="466"/>
    </row>
    <row r="798" spans="1:24" s="464" customFormat="1" ht="15" customHeight="1" x14ac:dyDescent="0.25">
      <c r="A798" s="453"/>
      <c r="B798" s="454"/>
      <c r="C798" s="469"/>
      <c r="D798" s="456"/>
      <c r="E798" s="457"/>
      <c r="F798" s="458"/>
      <c r="G798" s="459"/>
      <c r="H798" s="460"/>
      <c r="I798" s="460"/>
      <c r="J798" s="460"/>
      <c r="K798" s="517"/>
      <c r="L798" s="460"/>
      <c r="M798" s="461"/>
      <c r="N798" s="461"/>
      <c r="O798" s="470"/>
      <c r="P798" s="568" t="str">
        <f>IF(LEFT(B798,5)="09735",
    IF(ISNA(VLOOKUP(Tabla13[[#This Row],[Apoyo]],'LM SAP'!A:G,1,FALSE)),
        "No Disponible",
        IF(VLOOKUP(Tabla13[[#This Row],[Apoyo]],'LM SAP'!A:AD,9,FALSE)="RR",
            "Disponible",
            "Firmas SAP"
        )
    ),
    "CONSULTAR"
)</f>
        <v>CONSULTAR</v>
      </c>
      <c r="Q798" s="460"/>
      <c r="S798" s="460"/>
      <c r="T798" s="465"/>
      <c r="X798" s="466"/>
    </row>
    <row r="799" spans="1:24" s="464" customFormat="1" ht="15" customHeight="1" x14ac:dyDescent="0.25">
      <c r="A799" s="453"/>
      <c r="B799" s="454"/>
      <c r="C799" s="469"/>
      <c r="D799" s="456"/>
      <c r="E799" s="457"/>
      <c r="F799" s="458"/>
      <c r="G799" s="459"/>
      <c r="H799" s="460"/>
      <c r="I799" s="460"/>
      <c r="J799" s="460"/>
      <c r="K799" s="517"/>
      <c r="L799" s="460"/>
      <c r="M799" s="461"/>
      <c r="N799" s="461"/>
      <c r="O799" s="470"/>
      <c r="P799" s="568" t="str">
        <f>IF(LEFT(B799,5)="09735",
    IF(ISNA(VLOOKUP(Tabla13[[#This Row],[Apoyo]],'LM SAP'!A:G,1,FALSE)),
        "No Disponible",
        IF(VLOOKUP(Tabla13[[#This Row],[Apoyo]],'LM SAP'!A:AD,9,FALSE)="RR",
            "Disponible",
            "Firmas SAP"
        )
    ),
    "CONSULTAR"
)</f>
        <v>CONSULTAR</v>
      </c>
      <c r="Q799" s="460"/>
      <c r="S799" s="460"/>
      <c r="T799" s="465"/>
      <c r="X799" s="466"/>
    </row>
    <row r="800" spans="1:24" s="464" customFormat="1" ht="15" customHeight="1" x14ac:dyDescent="0.25">
      <c r="A800" s="453"/>
      <c r="B800" s="454"/>
      <c r="C800" s="469"/>
      <c r="D800" s="456"/>
      <c r="E800" s="457"/>
      <c r="F800" s="458"/>
      <c r="G800" s="459"/>
      <c r="H800" s="460"/>
      <c r="I800" s="460"/>
      <c r="J800" s="460"/>
      <c r="K800" s="517"/>
      <c r="L800" s="460"/>
      <c r="M800" s="461"/>
      <c r="N800" s="461"/>
      <c r="O800" s="470"/>
      <c r="P800" s="568" t="str">
        <f>IF(LEFT(B800,5)="09735",
    IF(ISNA(VLOOKUP(Tabla13[[#This Row],[Apoyo]],'LM SAP'!A:G,1,FALSE)),
        "No Disponible",
        IF(VLOOKUP(Tabla13[[#This Row],[Apoyo]],'LM SAP'!A:AD,9,FALSE)="RR",
            "Disponible",
            "Firmas SAP"
        )
    ),
    "CONSULTAR"
)</f>
        <v>CONSULTAR</v>
      </c>
      <c r="Q800" s="460"/>
      <c r="S800" s="460"/>
      <c r="T800" s="465"/>
      <c r="X800" s="466"/>
    </row>
    <row r="801" spans="1:24" s="464" customFormat="1" ht="15" customHeight="1" x14ac:dyDescent="0.25">
      <c r="A801" s="453"/>
      <c r="B801" s="454"/>
      <c r="C801" s="469"/>
      <c r="D801" s="456"/>
      <c r="E801" s="457"/>
      <c r="F801" s="458"/>
      <c r="G801" s="459"/>
      <c r="H801" s="460"/>
      <c r="I801" s="460"/>
      <c r="J801" s="460"/>
      <c r="K801" s="517"/>
      <c r="L801" s="460"/>
      <c r="M801" s="461"/>
      <c r="N801" s="461"/>
      <c r="O801" s="470"/>
      <c r="P801" s="568" t="str">
        <f>IF(LEFT(B801,5)="09735",
    IF(ISNA(VLOOKUP(Tabla13[[#This Row],[Apoyo]],'LM SAP'!A:G,1,FALSE)),
        "No Disponible",
        IF(VLOOKUP(Tabla13[[#This Row],[Apoyo]],'LM SAP'!A:AD,9,FALSE)="RR",
            "Disponible",
            "Firmas SAP"
        )
    ),
    "CONSULTAR"
)</f>
        <v>CONSULTAR</v>
      </c>
      <c r="Q801" s="460"/>
      <c r="S801" s="460"/>
      <c r="T801" s="465"/>
      <c r="X801" s="466"/>
    </row>
    <row r="802" spans="1:24" s="464" customFormat="1" ht="15" customHeight="1" x14ac:dyDescent="0.25">
      <c r="A802" s="453"/>
      <c r="B802" s="454"/>
      <c r="C802" s="469"/>
      <c r="D802" s="456"/>
      <c r="E802" s="457"/>
      <c r="F802" s="458"/>
      <c r="G802" s="459"/>
      <c r="H802" s="460"/>
      <c r="I802" s="460"/>
      <c r="J802" s="460"/>
      <c r="K802" s="517"/>
      <c r="L802" s="460"/>
      <c r="M802" s="461"/>
      <c r="N802" s="461"/>
      <c r="O802" s="470"/>
      <c r="P802" s="568" t="str">
        <f>IF(LEFT(B802,5)="09735",
    IF(ISNA(VLOOKUP(Tabla13[[#This Row],[Apoyo]],'LM SAP'!A:G,1,FALSE)),
        "No Disponible",
        IF(VLOOKUP(Tabla13[[#This Row],[Apoyo]],'LM SAP'!A:AD,9,FALSE)="RR",
            "Disponible",
            "Firmas SAP"
        )
    ),
    "CONSULTAR"
)</f>
        <v>CONSULTAR</v>
      </c>
      <c r="Q802" s="460"/>
      <c r="S802" s="460"/>
      <c r="T802" s="465"/>
      <c r="X802" s="466"/>
    </row>
    <row r="803" spans="1:24" s="464" customFormat="1" ht="15" customHeight="1" x14ac:dyDescent="0.25">
      <c r="A803" s="453"/>
      <c r="B803" s="454"/>
      <c r="C803" s="469"/>
      <c r="D803" s="456"/>
      <c r="E803" s="457"/>
      <c r="F803" s="458"/>
      <c r="G803" s="459"/>
      <c r="H803" s="460"/>
      <c r="I803" s="460"/>
      <c r="J803" s="460"/>
      <c r="K803" s="517"/>
      <c r="L803" s="460"/>
      <c r="M803" s="461"/>
      <c r="N803" s="461"/>
      <c r="O803" s="470"/>
      <c r="P803" s="568" t="str">
        <f>IF(LEFT(B803,5)="09735",
    IF(ISNA(VLOOKUP(Tabla13[[#This Row],[Apoyo]],'LM SAP'!A:G,1,FALSE)),
        "No Disponible",
        IF(VLOOKUP(Tabla13[[#This Row],[Apoyo]],'LM SAP'!A:AD,9,FALSE)="RR",
            "Disponible",
            "Firmas SAP"
        )
    ),
    "CONSULTAR"
)</f>
        <v>CONSULTAR</v>
      </c>
      <c r="Q803" s="460"/>
      <c r="S803" s="460"/>
      <c r="T803" s="465"/>
      <c r="X803" s="466"/>
    </row>
    <row r="804" spans="1:24" s="464" customFormat="1" ht="15" customHeight="1" x14ac:dyDescent="0.25">
      <c r="A804" s="453"/>
      <c r="B804" s="454"/>
      <c r="C804" s="469"/>
      <c r="D804" s="456"/>
      <c r="E804" s="457"/>
      <c r="F804" s="458"/>
      <c r="G804" s="459"/>
      <c r="H804" s="460"/>
      <c r="I804" s="460"/>
      <c r="J804" s="460"/>
      <c r="K804" s="517"/>
      <c r="L804" s="460"/>
      <c r="M804" s="461"/>
      <c r="N804" s="461"/>
      <c r="O804" s="470"/>
      <c r="P804" s="568" t="str">
        <f>IF(LEFT(B804,5)="09735",
    IF(ISNA(VLOOKUP(Tabla13[[#This Row],[Apoyo]],'LM SAP'!A:G,1,FALSE)),
        "No Disponible",
        IF(VLOOKUP(Tabla13[[#This Row],[Apoyo]],'LM SAP'!A:AD,9,FALSE)="RR",
            "Disponible",
            "Firmas SAP"
        )
    ),
    "CONSULTAR"
)</f>
        <v>CONSULTAR</v>
      </c>
      <c r="Q804" s="460"/>
      <c r="S804" s="460"/>
      <c r="T804" s="465"/>
      <c r="X804" s="466"/>
    </row>
    <row r="805" spans="1:24" s="464" customFormat="1" ht="15" customHeight="1" x14ac:dyDescent="0.25">
      <c r="A805" s="453"/>
      <c r="B805" s="454"/>
      <c r="C805" s="469"/>
      <c r="D805" s="456"/>
      <c r="E805" s="457"/>
      <c r="F805" s="458"/>
      <c r="G805" s="459"/>
      <c r="H805" s="460"/>
      <c r="I805" s="460"/>
      <c r="J805" s="460"/>
      <c r="K805" s="517"/>
      <c r="L805" s="460"/>
      <c r="M805" s="461"/>
      <c r="N805" s="461"/>
      <c r="O805" s="470"/>
      <c r="P805" s="568" t="str">
        <f>IF(LEFT(B805,5)="09735",
    IF(ISNA(VLOOKUP(Tabla13[[#This Row],[Apoyo]],'LM SAP'!A:G,1,FALSE)),
        "No Disponible",
        IF(VLOOKUP(Tabla13[[#This Row],[Apoyo]],'LM SAP'!A:AD,9,FALSE)="RR",
            "Disponible",
            "Firmas SAP"
        )
    ),
    "CONSULTAR"
)</f>
        <v>CONSULTAR</v>
      </c>
      <c r="Q805" s="460"/>
      <c r="S805" s="460"/>
      <c r="T805" s="465"/>
      <c r="X805" s="466"/>
    </row>
    <row r="806" spans="1:24" s="464" customFormat="1" ht="15" customHeight="1" x14ac:dyDescent="0.25">
      <c r="A806" s="453"/>
      <c r="B806" s="454"/>
      <c r="C806" s="469"/>
      <c r="D806" s="456"/>
      <c r="E806" s="457"/>
      <c r="F806" s="458"/>
      <c r="G806" s="459"/>
      <c r="H806" s="460"/>
      <c r="I806" s="460"/>
      <c r="J806" s="460"/>
      <c r="K806" s="517"/>
      <c r="L806" s="460"/>
      <c r="M806" s="461"/>
      <c r="N806" s="461"/>
      <c r="O806" s="470"/>
      <c r="P806" s="568" t="str">
        <f>IF(LEFT(B806,5)="09735",
    IF(ISNA(VLOOKUP(Tabla13[[#This Row],[Apoyo]],'LM SAP'!A:G,1,FALSE)),
        "No Disponible",
        IF(VLOOKUP(Tabla13[[#This Row],[Apoyo]],'LM SAP'!A:AD,9,FALSE)="RR",
            "Disponible",
            "Firmas SAP"
        )
    ),
    "CONSULTAR"
)</f>
        <v>CONSULTAR</v>
      </c>
      <c r="Q806" s="460"/>
      <c r="S806" s="460"/>
      <c r="T806" s="465"/>
      <c r="X806" s="466"/>
    </row>
    <row r="807" spans="1:24" s="464" customFormat="1" ht="15" customHeight="1" x14ac:dyDescent="0.25">
      <c r="A807" s="453"/>
      <c r="B807" s="454"/>
      <c r="C807" s="469"/>
      <c r="D807" s="456"/>
      <c r="E807" s="457"/>
      <c r="F807" s="458"/>
      <c r="G807" s="459"/>
      <c r="H807" s="460"/>
      <c r="I807" s="460"/>
      <c r="J807" s="460"/>
      <c r="K807" s="517"/>
      <c r="L807" s="460"/>
      <c r="M807" s="461"/>
      <c r="N807" s="461"/>
      <c r="O807" s="470"/>
      <c r="P807" s="568" t="str">
        <f>IF(LEFT(B807,5)="09735",
    IF(ISNA(VLOOKUP(Tabla13[[#This Row],[Apoyo]],'LM SAP'!A:G,1,FALSE)),
        "No Disponible",
        IF(VLOOKUP(Tabla13[[#This Row],[Apoyo]],'LM SAP'!A:AD,9,FALSE)="RR",
            "Disponible",
            "Firmas SAP"
        )
    ),
    "CONSULTAR"
)</f>
        <v>CONSULTAR</v>
      </c>
      <c r="Q807" s="460"/>
      <c r="S807" s="460"/>
      <c r="T807" s="465"/>
      <c r="X807" s="466"/>
    </row>
    <row r="808" spans="1:24" s="464" customFormat="1" ht="15" customHeight="1" x14ac:dyDescent="0.25">
      <c r="A808" s="453"/>
      <c r="B808" s="454"/>
      <c r="C808" s="469"/>
      <c r="D808" s="456"/>
      <c r="E808" s="457"/>
      <c r="F808" s="458"/>
      <c r="G808" s="459"/>
      <c r="H808" s="460"/>
      <c r="I808" s="460"/>
      <c r="J808" s="460"/>
      <c r="K808" s="517"/>
      <c r="L808" s="460"/>
      <c r="M808" s="461"/>
      <c r="N808" s="461"/>
      <c r="O808" s="470"/>
      <c r="P808" s="568" t="str">
        <f>IF(LEFT(B808,5)="09735",
    IF(ISNA(VLOOKUP(Tabla13[[#This Row],[Apoyo]],'LM SAP'!A:G,1,FALSE)),
        "No Disponible",
        IF(VLOOKUP(Tabla13[[#This Row],[Apoyo]],'LM SAP'!A:AD,9,FALSE)="RR",
            "Disponible",
            "Firmas SAP"
        )
    ),
    "CONSULTAR"
)</f>
        <v>CONSULTAR</v>
      </c>
      <c r="Q808" s="460"/>
      <c r="S808" s="460"/>
      <c r="T808" s="465"/>
      <c r="X808" s="466"/>
    </row>
    <row r="809" spans="1:24" s="464" customFormat="1" ht="15" customHeight="1" x14ac:dyDescent="0.25">
      <c r="A809" s="453"/>
      <c r="B809" s="454"/>
      <c r="C809" s="469"/>
      <c r="D809" s="456"/>
      <c r="E809" s="457"/>
      <c r="F809" s="458"/>
      <c r="G809" s="459"/>
      <c r="H809" s="460"/>
      <c r="I809" s="460"/>
      <c r="J809" s="460"/>
      <c r="K809" s="517"/>
      <c r="L809" s="460"/>
      <c r="M809" s="461"/>
      <c r="N809" s="461"/>
      <c r="O809" s="470"/>
      <c r="P809" s="568" t="str">
        <f>IF(LEFT(B809,5)="09735",
    IF(ISNA(VLOOKUP(Tabla13[[#This Row],[Apoyo]],'LM SAP'!A:G,1,FALSE)),
        "No Disponible",
        IF(VLOOKUP(Tabla13[[#This Row],[Apoyo]],'LM SAP'!A:AD,9,FALSE)="RR",
            "Disponible",
            "Firmas SAP"
        )
    ),
    "CONSULTAR"
)</f>
        <v>CONSULTAR</v>
      </c>
      <c r="Q809" s="460"/>
      <c r="S809" s="460"/>
      <c r="T809" s="465"/>
      <c r="X809" s="466"/>
    </row>
    <row r="810" spans="1:24" s="464" customFormat="1" ht="15" customHeight="1" x14ac:dyDescent="0.25">
      <c r="A810" s="453"/>
      <c r="B810" s="454"/>
      <c r="C810" s="469"/>
      <c r="D810" s="456"/>
      <c r="E810" s="457"/>
      <c r="F810" s="458"/>
      <c r="G810" s="459"/>
      <c r="H810" s="460"/>
      <c r="I810" s="460"/>
      <c r="J810" s="460"/>
      <c r="K810" s="517"/>
      <c r="L810" s="460"/>
      <c r="M810" s="461"/>
      <c r="N810" s="461"/>
      <c r="O810" s="470"/>
      <c r="P810" s="568" t="str">
        <f>IF(LEFT(B810,5)="09735",
    IF(ISNA(VLOOKUP(Tabla13[[#This Row],[Apoyo]],'LM SAP'!A:G,1,FALSE)),
        "No Disponible",
        IF(VLOOKUP(Tabla13[[#This Row],[Apoyo]],'LM SAP'!A:AD,9,FALSE)="RR",
            "Disponible",
            "Firmas SAP"
        )
    ),
    "CONSULTAR"
)</f>
        <v>CONSULTAR</v>
      </c>
      <c r="Q810" s="460"/>
      <c r="S810" s="460"/>
      <c r="T810" s="465"/>
      <c r="X810" s="466"/>
    </row>
    <row r="811" spans="1:24" s="464" customFormat="1" ht="15" customHeight="1" x14ac:dyDescent="0.25">
      <c r="A811" s="453"/>
      <c r="B811" s="454"/>
      <c r="C811" s="469"/>
      <c r="D811" s="456"/>
      <c r="E811" s="457"/>
      <c r="F811" s="458"/>
      <c r="G811" s="459"/>
      <c r="H811" s="460"/>
      <c r="I811" s="460"/>
      <c r="J811" s="460"/>
      <c r="K811" s="517"/>
      <c r="L811" s="460"/>
      <c r="M811" s="461"/>
      <c r="N811" s="461"/>
      <c r="O811" s="470"/>
      <c r="P811" s="568" t="str">
        <f>IF(LEFT(B811,5)="09735",
    IF(ISNA(VLOOKUP(Tabla13[[#This Row],[Apoyo]],'LM SAP'!A:G,1,FALSE)),
        "No Disponible",
        IF(VLOOKUP(Tabla13[[#This Row],[Apoyo]],'LM SAP'!A:AD,9,FALSE)="RR",
            "Disponible",
            "Firmas SAP"
        )
    ),
    "CONSULTAR"
)</f>
        <v>CONSULTAR</v>
      </c>
      <c r="Q811" s="460"/>
      <c r="S811" s="460"/>
      <c r="T811" s="465"/>
      <c r="X811" s="466"/>
    </row>
    <row r="812" spans="1:24" s="464" customFormat="1" ht="15" customHeight="1" x14ac:dyDescent="0.25">
      <c r="A812" s="453"/>
      <c r="B812" s="454"/>
      <c r="C812" s="469"/>
      <c r="D812" s="456"/>
      <c r="E812" s="457"/>
      <c r="F812" s="458"/>
      <c r="G812" s="459"/>
      <c r="H812" s="460"/>
      <c r="I812" s="460"/>
      <c r="J812" s="460"/>
      <c r="K812" s="517"/>
      <c r="L812" s="460"/>
      <c r="M812" s="461"/>
      <c r="N812" s="461"/>
      <c r="O812" s="470"/>
      <c r="P812" s="568" t="str">
        <f>IF(LEFT(B812,5)="09735",
    IF(ISNA(VLOOKUP(Tabla13[[#This Row],[Apoyo]],'LM SAP'!A:G,1,FALSE)),
        "No Disponible",
        IF(VLOOKUP(Tabla13[[#This Row],[Apoyo]],'LM SAP'!A:AD,9,FALSE)="RR",
            "Disponible",
            "Firmas SAP"
        )
    ),
    "CONSULTAR"
)</f>
        <v>CONSULTAR</v>
      </c>
      <c r="Q812" s="460"/>
      <c r="S812" s="460"/>
      <c r="T812" s="465"/>
      <c r="X812" s="466"/>
    </row>
    <row r="813" spans="1:24" s="464" customFormat="1" ht="15" customHeight="1" x14ac:dyDescent="0.25">
      <c r="A813" s="453"/>
      <c r="B813" s="454"/>
      <c r="C813" s="469"/>
      <c r="D813" s="456"/>
      <c r="E813" s="457"/>
      <c r="F813" s="458"/>
      <c r="G813" s="459"/>
      <c r="H813" s="460"/>
      <c r="I813" s="460"/>
      <c r="J813" s="460"/>
      <c r="K813" s="517"/>
      <c r="L813" s="460"/>
      <c r="M813" s="461"/>
      <c r="N813" s="461"/>
      <c r="O813" s="470"/>
      <c r="P813" s="568" t="str">
        <f>IF(LEFT(B813,5)="09735",
    IF(ISNA(VLOOKUP(Tabla13[[#This Row],[Apoyo]],'LM SAP'!A:G,1,FALSE)),
        "No Disponible",
        IF(VLOOKUP(Tabla13[[#This Row],[Apoyo]],'LM SAP'!A:AD,9,FALSE)="RR",
            "Disponible",
            "Firmas SAP"
        )
    ),
    "CONSULTAR"
)</f>
        <v>CONSULTAR</v>
      </c>
      <c r="Q813" s="460"/>
      <c r="S813" s="460"/>
      <c r="T813" s="465"/>
      <c r="X813" s="466"/>
    </row>
    <row r="814" spans="1:24" s="464" customFormat="1" ht="15" customHeight="1" x14ac:dyDescent="0.25">
      <c r="A814" s="453"/>
      <c r="B814" s="454"/>
      <c r="C814" s="469"/>
      <c r="D814" s="456"/>
      <c r="E814" s="457"/>
      <c r="F814" s="458"/>
      <c r="G814" s="459"/>
      <c r="H814" s="460"/>
      <c r="I814" s="460"/>
      <c r="J814" s="460"/>
      <c r="K814" s="517"/>
      <c r="L814" s="460"/>
      <c r="M814" s="461"/>
      <c r="N814" s="461"/>
      <c r="O814" s="470"/>
      <c r="P814" s="568" t="str">
        <f>IF(LEFT(B814,5)="09735",
    IF(ISNA(VLOOKUP(Tabla13[[#This Row],[Apoyo]],'LM SAP'!A:G,1,FALSE)),
        "No Disponible",
        IF(VLOOKUP(Tabla13[[#This Row],[Apoyo]],'LM SAP'!A:AD,9,FALSE)="RR",
            "Disponible",
            "Firmas SAP"
        )
    ),
    "CONSULTAR"
)</f>
        <v>CONSULTAR</v>
      </c>
      <c r="Q814" s="460"/>
      <c r="S814" s="460"/>
      <c r="T814" s="465"/>
      <c r="X814" s="466"/>
    </row>
    <row r="815" spans="1:24" s="464" customFormat="1" ht="15" customHeight="1" x14ac:dyDescent="0.25">
      <c r="A815" s="453"/>
      <c r="B815" s="454"/>
      <c r="C815" s="469"/>
      <c r="D815" s="456"/>
      <c r="E815" s="457"/>
      <c r="F815" s="458"/>
      <c r="G815" s="459"/>
      <c r="H815" s="460"/>
      <c r="I815" s="460"/>
      <c r="J815" s="460"/>
      <c r="K815" s="517"/>
      <c r="L815" s="460"/>
      <c r="M815" s="461"/>
      <c r="N815" s="461"/>
      <c r="O815" s="470"/>
      <c r="P815" s="568" t="str">
        <f>IF(LEFT(B815,5)="09735",
    IF(ISNA(VLOOKUP(Tabla13[[#This Row],[Apoyo]],'LM SAP'!A:G,1,FALSE)),
        "No Disponible",
        IF(VLOOKUP(Tabla13[[#This Row],[Apoyo]],'LM SAP'!A:AD,9,FALSE)="RR",
            "Disponible",
            "Firmas SAP"
        )
    ),
    "CONSULTAR"
)</f>
        <v>CONSULTAR</v>
      </c>
      <c r="Q815" s="460"/>
      <c r="S815" s="460"/>
      <c r="T815" s="465"/>
      <c r="X815" s="466"/>
    </row>
    <row r="816" spans="1:24" s="464" customFormat="1" ht="15" customHeight="1" x14ac:dyDescent="0.25">
      <c r="A816" s="453"/>
      <c r="B816" s="454"/>
      <c r="C816" s="469"/>
      <c r="D816" s="456"/>
      <c r="E816" s="457"/>
      <c r="F816" s="458"/>
      <c r="G816" s="459"/>
      <c r="H816" s="460"/>
      <c r="I816" s="460"/>
      <c r="J816" s="460"/>
      <c r="K816" s="517"/>
      <c r="L816" s="460"/>
      <c r="M816" s="461"/>
      <c r="N816" s="461"/>
      <c r="O816" s="470"/>
      <c r="P816" s="568" t="str">
        <f>IF(LEFT(B816,5)="09735",
    IF(ISNA(VLOOKUP(Tabla13[[#This Row],[Apoyo]],'LM SAP'!A:G,1,FALSE)),
        "No Disponible",
        IF(VLOOKUP(Tabla13[[#This Row],[Apoyo]],'LM SAP'!A:AD,9,FALSE)="RR",
            "Disponible",
            "Firmas SAP"
        )
    ),
    "CONSULTAR"
)</f>
        <v>CONSULTAR</v>
      </c>
      <c r="Q816" s="460"/>
      <c r="S816" s="460"/>
      <c r="T816" s="465"/>
      <c r="X816" s="466"/>
    </row>
    <row r="817" spans="1:24" s="464" customFormat="1" ht="15" customHeight="1" x14ac:dyDescent="0.25">
      <c r="A817" s="453"/>
      <c r="B817" s="454"/>
      <c r="C817" s="469"/>
      <c r="D817" s="456"/>
      <c r="E817" s="457"/>
      <c r="F817" s="458"/>
      <c r="G817" s="459"/>
      <c r="H817" s="460"/>
      <c r="I817" s="460"/>
      <c r="J817" s="460"/>
      <c r="K817" s="517"/>
      <c r="L817" s="460"/>
      <c r="M817" s="461"/>
      <c r="N817" s="461"/>
      <c r="O817" s="470"/>
      <c r="P817" s="568" t="str">
        <f>IF(LEFT(B817,5)="09735",
    IF(ISNA(VLOOKUP(Tabla13[[#This Row],[Apoyo]],'LM SAP'!A:G,1,FALSE)),
        "No Disponible",
        IF(VLOOKUP(Tabla13[[#This Row],[Apoyo]],'LM SAP'!A:AD,9,FALSE)="RR",
            "Disponible",
            "Firmas SAP"
        )
    ),
    "CONSULTAR"
)</f>
        <v>CONSULTAR</v>
      </c>
      <c r="Q817" s="460"/>
      <c r="S817" s="460"/>
      <c r="T817" s="465"/>
      <c r="X817" s="466"/>
    </row>
    <row r="818" spans="1:24" s="464" customFormat="1" ht="15" customHeight="1" x14ac:dyDescent="0.25">
      <c r="A818" s="453"/>
      <c r="B818" s="454"/>
      <c r="C818" s="469"/>
      <c r="D818" s="456"/>
      <c r="E818" s="457"/>
      <c r="F818" s="458"/>
      <c r="G818" s="459"/>
      <c r="H818" s="460"/>
      <c r="I818" s="460"/>
      <c r="J818" s="460"/>
      <c r="K818" s="517"/>
      <c r="L818" s="460"/>
      <c r="M818" s="461"/>
      <c r="N818" s="461"/>
      <c r="O818" s="470"/>
      <c r="P818" s="568" t="str">
        <f>IF(LEFT(B818,5)="09735",
    IF(ISNA(VLOOKUP(Tabla13[[#This Row],[Apoyo]],'LM SAP'!A:G,1,FALSE)),
        "No Disponible",
        IF(VLOOKUP(Tabla13[[#This Row],[Apoyo]],'LM SAP'!A:AD,9,FALSE)="RR",
            "Disponible",
            "Firmas SAP"
        )
    ),
    "CONSULTAR"
)</f>
        <v>CONSULTAR</v>
      </c>
      <c r="Q818" s="460"/>
      <c r="S818" s="460"/>
      <c r="T818" s="465"/>
      <c r="X818" s="466"/>
    </row>
    <row r="819" spans="1:24" s="464" customFormat="1" ht="15" customHeight="1" x14ac:dyDescent="0.25">
      <c r="A819" s="453"/>
      <c r="B819" s="454"/>
      <c r="C819" s="469"/>
      <c r="D819" s="456"/>
      <c r="E819" s="457"/>
      <c r="F819" s="458"/>
      <c r="G819" s="459"/>
      <c r="H819" s="460"/>
      <c r="I819" s="460"/>
      <c r="J819" s="460"/>
      <c r="K819" s="517"/>
      <c r="L819" s="460"/>
      <c r="M819" s="461"/>
      <c r="N819" s="461"/>
      <c r="O819" s="470"/>
      <c r="P819" s="568" t="str">
        <f>IF(LEFT(B819,5)="09735",
    IF(ISNA(VLOOKUP(Tabla13[[#This Row],[Apoyo]],'LM SAP'!A:G,1,FALSE)),
        "No Disponible",
        IF(VLOOKUP(Tabla13[[#This Row],[Apoyo]],'LM SAP'!A:AD,9,FALSE)="RR",
            "Disponible",
            "Firmas SAP"
        )
    ),
    "CONSULTAR"
)</f>
        <v>CONSULTAR</v>
      </c>
      <c r="Q819" s="460"/>
      <c r="S819" s="460"/>
      <c r="T819" s="465"/>
      <c r="X819" s="466"/>
    </row>
    <row r="820" spans="1:24" s="464" customFormat="1" ht="15" customHeight="1" x14ac:dyDescent="0.25">
      <c r="A820" s="453"/>
      <c r="B820" s="454"/>
      <c r="C820" s="469"/>
      <c r="D820" s="456"/>
      <c r="E820" s="457"/>
      <c r="F820" s="458"/>
      <c r="G820" s="459"/>
      <c r="H820" s="460"/>
      <c r="I820" s="460"/>
      <c r="J820" s="460"/>
      <c r="K820" s="517"/>
      <c r="L820" s="460"/>
      <c r="M820" s="461"/>
      <c r="N820" s="461"/>
      <c r="O820" s="470"/>
      <c r="P820" s="568" t="str">
        <f>IF(LEFT(B820,5)="09735",
    IF(ISNA(VLOOKUP(Tabla13[[#This Row],[Apoyo]],'LM SAP'!A:G,1,FALSE)),
        "No Disponible",
        IF(VLOOKUP(Tabla13[[#This Row],[Apoyo]],'LM SAP'!A:AD,9,FALSE)="RR",
            "Disponible",
            "Firmas SAP"
        )
    ),
    "CONSULTAR"
)</f>
        <v>CONSULTAR</v>
      </c>
      <c r="Q820" s="460"/>
      <c r="S820" s="460"/>
      <c r="T820" s="465"/>
      <c r="X820" s="466"/>
    </row>
    <row r="821" spans="1:24" s="464" customFormat="1" ht="15" customHeight="1" x14ac:dyDescent="0.25">
      <c r="A821" s="453"/>
      <c r="B821" s="454"/>
      <c r="C821" s="469"/>
      <c r="D821" s="456"/>
      <c r="E821" s="457"/>
      <c r="F821" s="458"/>
      <c r="G821" s="459"/>
      <c r="H821" s="460"/>
      <c r="I821" s="460"/>
      <c r="J821" s="460"/>
      <c r="K821" s="517"/>
      <c r="L821" s="460"/>
      <c r="M821" s="461"/>
      <c r="N821" s="461"/>
      <c r="O821" s="470"/>
      <c r="P821" s="568" t="str">
        <f>IF(LEFT(B821,5)="09735",
    IF(ISNA(VLOOKUP(Tabla13[[#This Row],[Apoyo]],'LM SAP'!A:G,1,FALSE)),
        "No Disponible",
        IF(VLOOKUP(Tabla13[[#This Row],[Apoyo]],'LM SAP'!A:AD,9,FALSE)="RR",
            "Disponible",
            "Firmas SAP"
        )
    ),
    "CONSULTAR"
)</f>
        <v>CONSULTAR</v>
      </c>
      <c r="Q821" s="460"/>
      <c r="S821" s="460"/>
      <c r="T821" s="465"/>
      <c r="X821" s="466"/>
    </row>
    <row r="822" spans="1:24" s="464" customFormat="1" ht="15" customHeight="1" x14ac:dyDescent="0.25">
      <c r="A822" s="453"/>
      <c r="B822" s="454"/>
      <c r="C822" s="469"/>
      <c r="D822" s="456"/>
      <c r="E822" s="457"/>
      <c r="F822" s="458"/>
      <c r="G822" s="459"/>
      <c r="H822" s="460"/>
      <c r="I822" s="460"/>
      <c r="J822" s="460"/>
      <c r="K822" s="517"/>
      <c r="L822" s="460"/>
      <c r="M822" s="461"/>
      <c r="N822" s="461"/>
      <c r="O822" s="470"/>
      <c r="P822" s="568" t="str">
        <f>IF(LEFT(B822,5)="09735",
    IF(ISNA(VLOOKUP(Tabla13[[#This Row],[Apoyo]],'LM SAP'!A:G,1,FALSE)),
        "No Disponible",
        IF(VLOOKUP(Tabla13[[#This Row],[Apoyo]],'LM SAP'!A:AD,9,FALSE)="RR",
            "Disponible",
            "Firmas SAP"
        )
    ),
    "CONSULTAR"
)</f>
        <v>CONSULTAR</v>
      </c>
      <c r="Q822" s="460"/>
      <c r="S822" s="460"/>
      <c r="T822" s="465"/>
      <c r="X822" s="466"/>
    </row>
    <row r="823" spans="1:24" s="464" customFormat="1" ht="15" customHeight="1" x14ac:dyDescent="0.25">
      <c r="A823" s="453"/>
      <c r="B823" s="454"/>
      <c r="C823" s="469"/>
      <c r="D823" s="456"/>
      <c r="E823" s="457"/>
      <c r="F823" s="458"/>
      <c r="G823" s="459"/>
      <c r="H823" s="460"/>
      <c r="I823" s="460"/>
      <c r="J823" s="460"/>
      <c r="K823" s="517"/>
      <c r="L823" s="460"/>
      <c r="M823" s="461"/>
      <c r="N823" s="461"/>
      <c r="O823" s="470"/>
      <c r="P823" s="568" t="str">
        <f>IF(LEFT(B823,5)="09735",
    IF(ISNA(VLOOKUP(Tabla13[[#This Row],[Apoyo]],'LM SAP'!A:G,1,FALSE)),
        "No Disponible",
        IF(VLOOKUP(Tabla13[[#This Row],[Apoyo]],'LM SAP'!A:AD,9,FALSE)="RR",
            "Disponible",
            "Firmas SAP"
        )
    ),
    "CONSULTAR"
)</f>
        <v>CONSULTAR</v>
      </c>
      <c r="Q823" s="460"/>
      <c r="S823" s="460"/>
      <c r="T823" s="465"/>
      <c r="X823" s="466"/>
    </row>
    <row r="824" spans="1:24" s="464" customFormat="1" ht="15" customHeight="1" x14ac:dyDescent="0.25">
      <c r="A824" s="453"/>
      <c r="B824" s="454"/>
      <c r="C824" s="469"/>
      <c r="D824" s="456"/>
      <c r="E824" s="457"/>
      <c r="F824" s="458"/>
      <c r="G824" s="459"/>
      <c r="H824" s="460"/>
      <c r="I824" s="460"/>
      <c r="J824" s="460"/>
      <c r="K824" s="517"/>
      <c r="L824" s="460"/>
      <c r="M824" s="461"/>
      <c r="N824" s="461"/>
      <c r="O824" s="470"/>
      <c r="P824" s="568" t="str">
        <f>IF(LEFT(B824,5)="09735",
    IF(ISNA(VLOOKUP(Tabla13[[#This Row],[Apoyo]],'LM SAP'!A:G,1,FALSE)),
        "No Disponible",
        IF(VLOOKUP(Tabla13[[#This Row],[Apoyo]],'LM SAP'!A:AD,9,FALSE)="RR",
            "Disponible",
            "Firmas SAP"
        )
    ),
    "CONSULTAR"
)</f>
        <v>CONSULTAR</v>
      </c>
      <c r="Q824" s="460"/>
      <c r="S824" s="460"/>
      <c r="T824" s="465"/>
      <c r="X824" s="466"/>
    </row>
    <row r="825" spans="1:24" s="464" customFormat="1" ht="15" customHeight="1" x14ac:dyDescent="0.25">
      <c r="A825" s="453"/>
      <c r="B825" s="454"/>
      <c r="C825" s="469"/>
      <c r="D825" s="456"/>
      <c r="E825" s="457"/>
      <c r="F825" s="458"/>
      <c r="G825" s="459"/>
      <c r="H825" s="460"/>
      <c r="I825" s="460"/>
      <c r="J825" s="460"/>
      <c r="K825" s="517"/>
      <c r="L825" s="460"/>
      <c r="M825" s="461"/>
      <c r="N825" s="461"/>
      <c r="O825" s="470"/>
      <c r="P825" s="568" t="str">
        <f>IF(LEFT(B825,5)="09735",
    IF(ISNA(VLOOKUP(Tabla13[[#This Row],[Apoyo]],'LM SAP'!A:G,1,FALSE)),
        "No Disponible",
        IF(VLOOKUP(Tabla13[[#This Row],[Apoyo]],'LM SAP'!A:AD,9,FALSE)="RR",
            "Disponible",
            "Firmas SAP"
        )
    ),
    "CONSULTAR"
)</f>
        <v>CONSULTAR</v>
      </c>
      <c r="Q825" s="460"/>
      <c r="S825" s="460"/>
      <c r="T825" s="465"/>
      <c r="X825" s="466"/>
    </row>
    <row r="826" spans="1:24" s="464" customFormat="1" ht="15" customHeight="1" x14ac:dyDescent="0.25">
      <c r="A826" s="453"/>
      <c r="B826" s="454"/>
      <c r="C826" s="469"/>
      <c r="D826" s="456"/>
      <c r="E826" s="457"/>
      <c r="F826" s="458"/>
      <c r="G826" s="459"/>
      <c r="H826" s="460"/>
      <c r="I826" s="460"/>
      <c r="J826" s="460"/>
      <c r="K826" s="517"/>
      <c r="L826" s="460"/>
      <c r="M826" s="461"/>
      <c r="N826" s="461"/>
      <c r="O826" s="470"/>
      <c r="P826" s="568" t="str">
        <f>IF(LEFT(B826,5)="09735",
    IF(ISNA(VLOOKUP(Tabla13[[#This Row],[Apoyo]],'LM SAP'!A:G,1,FALSE)),
        "No Disponible",
        IF(VLOOKUP(Tabla13[[#This Row],[Apoyo]],'LM SAP'!A:AD,9,FALSE)="RR",
            "Disponible",
            "Firmas SAP"
        )
    ),
    "CONSULTAR"
)</f>
        <v>CONSULTAR</v>
      </c>
      <c r="Q826" s="460"/>
      <c r="S826" s="460"/>
      <c r="T826" s="465"/>
      <c r="X826" s="466"/>
    </row>
    <row r="827" spans="1:24" s="464" customFormat="1" ht="15" customHeight="1" x14ac:dyDescent="0.25">
      <c r="A827" s="453"/>
      <c r="B827" s="454"/>
      <c r="C827" s="469"/>
      <c r="D827" s="456"/>
      <c r="E827" s="457"/>
      <c r="F827" s="458"/>
      <c r="G827" s="459"/>
      <c r="H827" s="460"/>
      <c r="I827" s="460"/>
      <c r="J827" s="460"/>
      <c r="K827" s="517"/>
      <c r="L827" s="460"/>
      <c r="M827" s="461"/>
      <c r="N827" s="461"/>
      <c r="O827" s="470"/>
      <c r="P827" s="568" t="str">
        <f>IF(LEFT(B827,5)="09735",
    IF(ISNA(VLOOKUP(Tabla13[[#This Row],[Apoyo]],'LM SAP'!A:G,1,FALSE)),
        "No Disponible",
        IF(VLOOKUP(Tabla13[[#This Row],[Apoyo]],'LM SAP'!A:AD,9,FALSE)="RR",
            "Disponible",
            "Firmas SAP"
        )
    ),
    "CONSULTAR"
)</f>
        <v>CONSULTAR</v>
      </c>
      <c r="Q827" s="460"/>
      <c r="S827" s="460"/>
      <c r="T827" s="465"/>
      <c r="X827" s="466"/>
    </row>
    <row r="828" spans="1:24" s="464" customFormat="1" ht="15" customHeight="1" x14ac:dyDescent="0.25">
      <c r="A828" s="453"/>
      <c r="B828" s="454"/>
      <c r="C828" s="469"/>
      <c r="D828" s="456"/>
      <c r="E828" s="457"/>
      <c r="F828" s="458"/>
      <c r="G828" s="459"/>
      <c r="H828" s="460"/>
      <c r="I828" s="460"/>
      <c r="J828" s="460"/>
      <c r="K828" s="517"/>
      <c r="L828" s="460"/>
      <c r="M828" s="461"/>
      <c r="N828" s="461"/>
      <c r="O828" s="470"/>
      <c r="P828" s="568" t="str">
        <f>IF(LEFT(B828,5)="09735",
    IF(ISNA(VLOOKUP(Tabla13[[#This Row],[Apoyo]],'LM SAP'!A:G,1,FALSE)),
        "No Disponible",
        IF(VLOOKUP(Tabla13[[#This Row],[Apoyo]],'LM SAP'!A:AD,9,FALSE)="RR",
            "Disponible",
            "Firmas SAP"
        )
    ),
    "CONSULTAR"
)</f>
        <v>CONSULTAR</v>
      </c>
      <c r="Q828" s="460"/>
      <c r="S828" s="460"/>
      <c r="T828" s="465"/>
      <c r="X828" s="466"/>
    </row>
    <row r="829" spans="1:24" s="464" customFormat="1" ht="15" customHeight="1" x14ac:dyDescent="0.25">
      <c r="A829" s="453"/>
      <c r="B829" s="454"/>
      <c r="C829" s="469"/>
      <c r="D829" s="456"/>
      <c r="E829" s="457"/>
      <c r="F829" s="458"/>
      <c r="G829" s="459"/>
      <c r="H829" s="460"/>
      <c r="I829" s="460"/>
      <c r="J829" s="460"/>
      <c r="K829" s="517"/>
      <c r="L829" s="460"/>
      <c r="M829" s="461"/>
      <c r="N829" s="461"/>
      <c r="O829" s="470"/>
      <c r="P829" s="568" t="str">
        <f>IF(LEFT(B829,5)="09735",
    IF(ISNA(VLOOKUP(Tabla13[[#This Row],[Apoyo]],'LM SAP'!A:G,1,FALSE)),
        "No Disponible",
        IF(VLOOKUP(Tabla13[[#This Row],[Apoyo]],'LM SAP'!A:AD,9,FALSE)="RR",
            "Disponible",
            "Firmas SAP"
        )
    ),
    "CONSULTAR"
)</f>
        <v>CONSULTAR</v>
      </c>
      <c r="Q829" s="460"/>
      <c r="S829" s="460"/>
      <c r="T829" s="465"/>
      <c r="X829" s="466"/>
    </row>
    <row r="830" spans="1:24" s="464" customFormat="1" ht="15" customHeight="1" x14ac:dyDescent="0.25">
      <c r="A830" s="453"/>
      <c r="B830" s="454"/>
      <c r="C830" s="469"/>
      <c r="D830" s="456"/>
      <c r="E830" s="457"/>
      <c r="F830" s="458"/>
      <c r="G830" s="459"/>
      <c r="H830" s="460"/>
      <c r="I830" s="460"/>
      <c r="J830" s="460"/>
      <c r="K830" s="517"/>
      <c r="L830" s="460"/>
      <c r="M830" s="461"/>
      <c r="N830" s="461"/>
      <c r="O830" s="470"/>
      <c r="P830" s="568" t="str">
        <f>IF(LEFT(B830,5)="09735",
    IF(ISNA(VLOOKUP(Tabla13[[#This Row],[Apoyo]],'LM SAP'!A:G,1,FALSE)),
        "No Disponible",
        IF(VLOOKUP(Tabla13[[#This Row],[Apoyo]],'LM SAP'!A:AD,9,FALSE)="RR",
            "Disponible",
            "Firmas SAP"
        )
    ),
    "CONSULTAR"
)</f>
        <v>CONSULTAR</v>
      </c>
      <c r="Q830" s="460"/>
      <c r="S830" s="460"/>
      <c r="T830" s="465"/>
      <c r="X830" s="466"/>
    </row>
    <row r="831" spans="1:24" s="464" customFormat="1" ht="15" customHeight="1" x14ac:dyDescent="0.25">
      <c r="A831" s="453"/>
      <c r="B831" s="454"/>
      <c r="C831" s="469"/>
      <c r="D831" s="456"/>
      <c r="E831" s="457"/>
      <c r="F831" s="458"/>
      <c r="G831" s="459"/>
      <c r="H831" s="460"/>
      <c r="I831" s="460"/>
      <c r="J831" s="460"/>
      <c r="K831" s="517"/>
      <c r="L831" s="460"/>
      <c r="M831" s="461"/>
      <c r="N831" s="461"/>
      <c r="O831" s="470"/>
      <c r="P831" s="568" t="str">
        <f>IF(LEFT(B831,5)="09735",
    IF(ISNA(VLOOKUP(Tabla13[[#This Row],[Apoyo]],'LM SAP'!A:G,1,FALSE)),
        "No Disponible",
        IF(VLOOKUP(Tabla13[[#This Row],[Apoyo]],'LM SAP'!A:AD,9,FALSE)="RR",
            "Disponible",
            "Firmas SAP"
        )
    ),
    "CONSULTAR"
)</f>
        <v>CONSULTAR</v>
      </c>
      <c r="Q831" s="460"/>
      <c r="S831" s="460"/>
      <c r="T831" s="465"/>
      <c r="X831" s="466"/>
    </row>
    <row r="832" spans="1:24" s="464" customFormat="1" ht="15" customHeight="1" x14ac:dyDescent="0.25">
      <c r="A832" s="453"/>
      <c r="B832" s="454"/>
      <c r="C832" s="469"/>
      <c r="D832" s="456"/>
      <c r="E832" s="457"/>
      <c r="F832" s="458"/>
      <c r="G832" s="459"/>
      <c r="H832" s="460"/>
      <c r="I832" s="460"/>
      <c r="J832" s="460"/>
      <c r="K832" s="517"/>
      <c r="L832" s="460"/>
      <c r="M832" s="461"/>
      <c r="N832" s="461"/>
      <c r="O832" s="470"/>
      <c r="P832" s="568" t="str">
        <f>IF(LEFT(B832,5)="09735",
    IF(ISNA(VLOOKUP(Tabla13[[#This Row],[Apoyo]],'LM SAP'!A:G,1,FALSE)),
        "No Disponible",
        IF(VLOOKUP(Tabla13[[#This Row],[Apoyo]],'LM SAP'!A:AD,9,FALSE)="RR",
            "Disponible",
            "Firmas SAP"
        )
    ),
    "CONSULTAR"
)</f>
        <v>CONSULTAR</v>
      </c>
      <c r="Q832" s="460"/>
      <c r="S832" s="460"/>
      <c r="T832" s="465"/>
      <c r="X832" s="466"/>
    </row>
    <row r="833" spans="1:24" s="464" customFormat="1" ht="15" customHeight="1" x14ac:dyDescent="0.25">
      <c r="A833" s="453"/>
      <c r="B833" s="454"/>
      <c r="C833" s="469"/>
      <c r="D833" s="456"/>
      <c r="E833" s="457"/>
      <c r="F833" s="458"/>
      <c r="G833" s="459"/>
      <c r="H833" s="460"/>
      <c r="I833" s="460"/>
      <c r="J833" s="460"/>
      <c r="K833" s="517"/>
      <c r="L833" s="460"/>
      <c r="M833" s="461"/>
      <c r="N833" s="461"/>
      <c r="O833" s="470"/>
      <c r="P833" s="568" t="str">
        <f>IF(LEFT(B833,5)="09735",
    IF(ISNA(VLOOKUP(Tabla13[[#This Row],[Apoyo]],'LM SAP'!A:G,1,FALSE)),
        "No Disponible",
        IF(VLOOKUP(Tabla13[[#This Row],[Apoyo]],'LM SAP'!A:AD,9,FALSE)="RR",
            "Disponible",
            "Firmas SAP"
        )
    ),
    "CONSULTAR"
)</f>
        <v>CONSULTAR</v>
      </c>
      <c r="Q833" s="460"/>
      <c r="S833" s="460"/>
      <c r="T833" s="465"/>
      <c r="X833" s="466"/>
    </row>
    <row r="834" spans="1:24" s="464" customFormat="1" ht="15" customHeight="1" x14ac:dyDescent="0.25">
      <c r="A834" s="453"/>
      <c r="B834" s="454"/>
      <c r="C834" s="469"/>
      <c r="D834" s="456"/>
      <c r="E834" s="457"/>
      <c r="F834" s="458"/>
      <c r="G834" s="459"/>
      <c r="H834" s="460"/>
      <c r="I834" s="460"/>
      <c r="J834" s="460"/>
      <c r="K834" s="517"/>
      <c r="L834" s="460"/>
      <c r="M834" s="461"/>
      <c r="N834" s="461"/>
      <c r="O834" s="470"/>
      <c r="P834" s="568" t="str">
        <f>IF(LEFT(B834,5)="09735",
    IF(ISNA(VLOOKUP(Tabla13[[#This Row],[Apoyo]],'LM SAP'!A:G,1,FALSE)),
        "No Disponible",
        IF(VLOOKUP(Tabla13[[#This Row],[Apoyo]],'LM SAP'!A:AD,9,FALSE)="RR",
            "Disponible",
            "Firmas SAP"
        )
    ),
    "CONSULTAR"
)</f>
        <v>CONSULTAR</v>
      </c>
      <c r="Q834" s="460"/>
      <c r="S834" s="460"/>
      <c r="T834" s="465"/>
      <c r="X834" s="466"/>
    </row>
    <row r="835" spans="1:24" s="464" customFormat="1" ht="15" customHeight="1" x14ac:dyDescent="0.25">
      <c r="A835" s="453"/>
      <c r="B835" s="454"/>
      <c r="C835" s="469"/>
      <c r="D835" s="456"/>
      <c r="E835" s="457"/>
      <c r="F835" s="458"/>
      <c r="G835" s="459"/>
      <c r="H835" s="460"/>
      <c r="I835" s="460"/>
      <c r="J835" s="460"/>
      <c r="K835" s="517"/>
      <c r="L835" s="460"/>
      <c r="M835" s="461"/>
      <c r="N835" s="461"/>
      <c r="O835" s="470"/>
      <c r="P835" s="568" t="str">
        <f>IF(LEFT(B835,5)="09735",
    IF(ISNA(VLOOKUP(Tabla13[[#This Row],[Apoyo]],'LM SAP'!A:G,1,FALSE)),
        "No Disponible",
        IF(VLOOKUP(Tabla13[[#This Row],[Apoyo]],'LM SAP'!A:AD,9,FALSE)="RR",
            "Disponible",
            "Firmas SAP"
        )
    ),
    "CONSULTAR"
)</f>
        <v>CONSULTAR</v>
      </c>
      <c r="Q835" s="460"/>
      <c r="S835" s="460"/>
      <c r="T835" s="465"/>
      <c r="X835" s="466"/>
    </row>
    <row r="836" spans="1:24" s="464" customFormat="1" ht="15" customHeight="1" x14ac:dyDescent="0.25">
      <c r="A836" s="453"/>
      <c r="B836" s="454"/>
      <c r="C836" s="469"/>
      <c r="D836" s="456"/>
      <c r="E836" s="457"/>
      <c r="F836" s="458"/>
      <c r="G836" s="459"/>
      <c r="H836" s="460"/>
      <c r="I836" s="460"/>
      <c r="J836" s="460"/>
      <c r="K836" s="517"/>
      <c r="L836" s="460"/>
      <c r="M836" s="461"/>
      <c r="N836" s="461"/>
      <c r="O836" s="470"/>
      <c r="P836" s="568" t="str">
        <f>IF(LEFT(B836,5)="09735",
    IF(ISNA(VLOOKUP(Tabla13[[#This Row],[Apoyo]],'LM SAP'!A:G,1,FALSE)),
        "No Disponible",
        IF(VLOOKUP(Tabla13[[#This Row],[Apoyo]],'LM SAP'!A:AD,9,FALSE)="RR",
            "Disponible",
            "Firmas SAP"
        )
    ),
    "CONSULTAR"
)</f>
        <v>CONSULTAR</v>
      </c>
      <c r="Q836" s="460"/>
      <c r="S836" s="460"/>
      <c r="T836" s="465"/>
      <c r="X836" s="466"/>
    </row>
    <row r="837" spans="1:24" s="464" customFormat="1" ht="15" customHeight="1" x14ac:dyDescent="0.25">
      <c r="A837" s="453"/>
      <c r="B837" s="454"/>
      <c r="C837" s="469"/>
      <c r="D837" s="456"/>
      <c r="E837" s="457"/>
      <c r="F837" s="458"/>
      <c r="G837" s="459"/>
      <c r="H837" s="460"/>
      <c r="I837" s="460"/>
      <c r="J837" s="460"/>
      <c r="K837" s="517"/>
      <c r="L837" s="460"/>
      <c r="M837" s="461"/>
      <c r="N837" s="461"/>
      <c r="O837" s="470"/>
      <c r="P837" s="568" t="str">
        <f>IF(LEFT(B837,5)="09735",
    IF(ISNA(VLOOKUP(Tabla13[[#This Row],[Apoyo]],'LM SAP'!A:G,1,FALSE)),
        "No Disponible",
        IF(VLOOKUP(Tabla13[[#This Row],[Apoyo]],'LM SAP'!A:AD,9,FALSE)="RR",
            "Disponible",
            "Firmas SAP"
        )
    ),
    "CONSULTAR"
)</f>
        <v>CONSULTAR</v>
      </c>
      <c r="Q837" s="460"/>
      <c r="S837" s="460"/>
      <c r="T837" s="465"/>
      <c r="X837" s="466"/>
    </row>
    <row r="838" spans="1:24" s="464" customFormat="1" ht="15" customHeight="1" x14ac:dyDescent="0.25">
      <c r="A838" s="453"/>
      <c r="B838" s="454"/>
      <c r="C838" s="469"/>
      <c r="D838" s="456"/>
      <c r="E838" s="457"/>
      <c r="F838" s="458"/>
      <c r="G838" s="459"/>
      <c r="H838" s="460"/>
      <c r="I838" s="460"/>
      <c r="J838" s="460"/>
      <c r="K838" s="517"/>
      <c r="L838" s="460"/>
      <c r="M838" s="461"/>
      <c r="N838" s="461"/>
      <c r="O838" s="470"/>
      <c r="P838" s="568" t="str">
        <f>IF(LEFT(B838,5)="09735",
    IF(ISNA(VLOOKUP(Tabla13[[#This Row],[Apoyo]],'LM SAP'!A:G,1,FALSE)),
        "No Disponible",
        IF(VLOOKUP(Tabla13[[#This Row],[Apoyo]],'LM SAP'!A:AD,9,FALSE)="RR",
            "Disponible",
            "Firmas SAP"
        )
    ),
    "CONSULTAR"
)</f>
        <v>CONSULTAR</v>
      </c>
      <c r="Q838" s="460"/>
      <c r="S838" s="460"/>
      <c r="T838" s="465"/>
      <c r="X838" s="466"/>
    </row>
    <row r="839" spans="1:24" s="464" customFormat="1" ht="15" customHeight="1" x14ac:dyDescent="0.25">
      <c r="A839" s="453"/>
      <c r="B839" s="454"/>
      <c r="C839" s="469"/>
      <c r="D839" s="456"/>
      <c r="E839" s="457"/>
      <c r="F839" s="458"/>
      <c r="G839" s="459"/>
      <c r="H839" s="460"/>
      <c r="I839" s="460"/>
      <c r="J839" s="460"/>
      <c r="K839" s="517"/>
      <c r="L839" s="460"/>
      <c r="M839" s="461"/>
      <c r="N839" s="461"/>
      <c r="O839" s="470"/>
      <c r="P839" s="568" t="str">
        <f>IF(LEFT(B839,5)="09735",
    IF(ISNA(VLOOKUP(Tabla13[[#This Row],[Apoyo]],'LM SAP'!A:G,1,FALSE)),
        "No Disponible",
        IF(VLOOKUP(Tabla13[[#This Row],[Apoyo]],'LM SAP'!A:AD,9,FALSE)="RR",
            "Disponible",
            "Firmas SAP"
        )
    ),
    "CONSULTAR"
)</f>
        <v>CONSULTAR</v>
      </c>
      <c r="Q839" s="460"/>
      <c r="S839" s="460"/>
      <c r="T839" s="465"/>
      <c r="X839" s="466"/>
    </row>
    <row r="840" spans="1:24" s="464" customFormat="1" ht="15" customHeight="1" x14ac:dyDescent="0.25">
      <c r="A840" s="453"/>
      <c r="B840" s="454"/>
      <c r="C840" s="469"/>
      <c r="D840" s="456"/>
      <c r="E840" s="457"/>
      <c r="F840" s="458"/>
      <c r="G840" s="459"/>
      <c r="H840" s="460"/>
      <c r="I840" s="460"/>
      <c r="J840" s="460"/>
      <c r="K840" s="517"/>
      <c r="L840" s="460"/>
      <c r="M840" s="461"/>
      <c r="N840" s="461"/>
      <c r="O840" s="470"/>
      <c r="P840" s="568" t="str">
        <f>IF(LEFT(B840,5)="09735",
    IF(ISNA(VLOOKUP(Tabla13[[#This Row],[Apoyo]],'LM SAP'!A:G,1,FALSE)),
        "No Disponible",
        IF(VLOOKUP(Tabla13[[#This Row],[Apoyo]],'LM SAP'!A:AD,9,FALSE)="RR",
            "Disponible",
            "Firmas SAP"
        )
    ),
    "CONSULTAR"
)</f>
        <v>CONSULTAR</v>
      </c>
      <c r="Q840" s="460"/>
      <c r="S840" s="460"/>
      <c r="T840" s="465"/>
      <c r="X840" s="466"/>
    </row>
    <row r="841" spans="1:24" s="464" customFormat="1" ht="15" customHeight="1" x14ac:dyDescent="0.25">
      <c r="A841" s="453"/>
      <c r="B841" s="454"/>
      <c r="C841" s="469"/>
      <c r="D841" s="456"/>
      <c r="E841" s="457"/>
      <c r="F841" s="458"/>
      <c r="G841" s="459"/>
      <c r="H841" s="460"/>
      <c r="I841" s="460"/>
      <c r="J841" s="460"/>
      <c r="K841" s="517"/>
      <c r="L841" s="460"/>
      <c r="M841" s="461"/>
      <c r="N841" s="461"/>
      <c r="O841" s="470"/>
      <c r="P841" s="568" t="str">
        <f>IF(LEFT(B841,5)="09735",
    IF(ISNA(VLOOKUP(Tabla13[[#This Row],[Apoyo]],'LM SAP'!A:G,1,FALSE)),
        "No Disponible",
        IF(VLOOKUP(Tabla13[[#This Row],[Apoyo]],'LM SAP'!A:AD,9,FALSE)="RR",
            "Disponible",
            "Firmas SAP"
        )
    ),
    "CONSULTAR"
)</f>
        <v>CONSULTAR</v>
      </c>
      <c r="Q841" s="460"/>
      <c r="S841" s="460"/>
      <c r="T841" s="465"/>
      <c r="X841" s="466"/>
    </row>
    <row r="842" spans="1:24" s="464" customFormat="1" ht="15" customHeight="1" x14ac:dyDescent="0.25">
      <c r="A842" s="453"/>
      <c r="B842" s="454"/>
      <c r="C842" s="469"/>
      <c r="D842" s="456"/>
      <c r="E842" s="457"/>
      <c r="F842" s="458"/>
      <c r="G842" s="459"/>
      <c r="H842" s="460"/>
      <c r="I842" s="460"/>
      <c r="J842" s="460"/>
      <c r="K842" s="517"/>
      <c r="L842" s="460"/>
      <c r="M842" s="461"/>
      <c r="N842" s="461"/>
      <c r="O842" s="470"/>
      <c r="P842" s="568" t="str">
        <f>IF(LEFT(B842,5)="09735",
    IF(ISNA(VLOOKUP(Tabla13[[#This Row],[Apoyo]],'LM SAP'!A:G,1,FALSE)),
        "No Disponible",
        IF(VLOOKUP(Tabla13[[#This Row],[Apoyo]],'LM SAP'!A:AD,9,FALSE)="RR",
            "Disponible",
            "Firmas SAP"
        )
    ),
    "CONSULTAR"
)</f>
        <v>CONSULTAR</v>
      </c>
      <c r="Q842" s="460"/>
      <c r="S842" s="460"/>
      <c r="T842" s="465"/>
      <c r="X842" s="466"/>
    </row>
    <row r="843" spans="1:24" s="464" customFormat="1" ht="15" customHeight="1" x14ac:dyDescent="0.25">
      <c r="A843" s="453"/>
      <c r="B843" s="454"/>
      <c r="C843" s="469"/>
      <c r="D843" s="456"/>
      <c r="E843" s="457"/>
      <c r="F843" s="458"/>
      <c r="G843" s="459"/>
      <c r="H843" s="460"/>
      <c r="I843" s="460"/>
      <c r="J843" s="460"/>
      <c r="K843" s="517"/>
      <c r="L843" s="460"/>
      <c r="M843" s="461"/>
      <c r="N843" s="461"/>
      <c r="O843" s="470"/>
      <c r="P843" s="568" t="str">
        <f>IF(LEFT(B843,5)="09735",
    IF(ISNA(VLOOKUP(Tabla13[[#This Row],[Apoyo]],'LM SAP'!A:G,1,FALSE)),
        "No Disponible",
        IF(VLOOKUP(Tabla13[[#This Row],[Apoyo]],'LM SAP'!A:AD,9,FALSE)="RR",
            "Disponible",
            "Firmas SAP"
        )
    ),
    "CONSULTAR"
)</f>
        <v>CONSULTAR</v>
      </c>
      <c r="Q843" s="460"/>
      <c r="S843" s="460"/>
      <c r="T843" s="465"/>
      <c r="X843" s="466"/>
    </row>
    <row r="844" spans="1:24" s="464" customFormat="1" ht="15" customHeight="1" x14ac:dyDescent="0.25">
      <c r="A844" s="453"/>
      <c r="B844" s="454"/>
      <c r="C844" s="469"/>
      <c r="D844" s="456"/>
      <c r="E844" s="457"/>
      <c r="F844" s="458"/>
      <c r="G844" s="459"/>
      <c r="H844" s="460"/>
      <c r="I844" s="460"/>
      <c r="J844" s="460"/>
      <c r="K844" s="517"/>
      <c r="L844" s="460"/>
      <c r="M844" s="461"/>
      <c r="N844" s="461"/>
      <c r="O844" s="470"/>
      <c r="P844" s="568" t="str">
        <f>IF(LEFT(B844,5)="09735",
    IF(ISNA(VLOOKUP(Tabla13[[#This Row],[Apoyo]],'LM SAP'!A:G,1,FALSE)),
        "No Disponible",
        IF(VLOOKUP(Tabla13[[#This Row],[Apoyo]],'LM SAP'!A:AD,9,FALSE)="RR",
            "Disponible",
            "Firmas SAP"
        )
    ),
    "CONSULTAR"
)</f>
        <v>CONSULTAR</v>
      </c>
      <c r="Q844" s="460"/>
      <c r="S844" s="460"/>
      <c r="T844" s="465"/>
      <c r="X844" s="466"/>
    </row>
    <row r="845" spans="1:24" s="464" customFormat="1" ht="15" customHeight="1" x14ac:dyDescent="0.25">
      <c r="A845" s="453"/>
      <c r="B845" s="454"/>
      <c r="C845" s="469"/>
      <c r="D845" s="456"/>
      <c r="E845" s="457"/>
      <c r="F845" s="458"/>
      <c r="G845" s="459"/>
      <c r="H845" s="460"/>
      <c r="I845" s="460"/>
      <c r="J845" s="460"/>
      <c r="K845" s="517"/>
      <c r="L845" s="460"/>
      <c r="M845" s="461"/>
      <c r="N845" s="461"/>
      <c r="O845" s="470"/>
      <c r="P845" s="568" t="str">
        <f>IF(LEFT(B845,5)="09735",
    IF(ISNA(VLOOKUP(Tabla13[[#This Row],[Apoyo]],'LM SAP'!A:G,1,FALSE)),
        "No Disponible",
        IF(VLOOKUP(Tabla13[[#This Row],[Apoyo]],'LM SAP'!A:AD,9,FALSE)="RR",
            "Disponible",
            "Firmas SAP"
        )
    ),
    "CONSULTAR"
)</f>
        <v>CONSULTAR</v>
      </c>
      <c r="Q845" s="460"/>
      <c r="S845" s="460"/>
      <c r="T845" s="465"/>
      <c r="X845" s="466"/>
    </row>
    <row r="846" spans="1:24" s="464" customFormat="1" ht="15" customHeight="1" x14ac:dyDescent="0.25">
      <c r="A846" s="453"/>
      <c r="B846" s="454"/>
      <c r="C846" s="469"/>
      <c r="D846" s="456"/>
      <c r="E846" s="457"/>
      <c r="F846" s="458"/>
      <c r="G846" s="459"/>
      <c r="H846" s="460"/>
      <c r="I846" s="460"/>
      <c r="J846" s="460"/>
      <c r="K846" s="517"/>
      <c r="L846" s="460"/>
      <c r="M846" s="461"/>
      <c r="N846" s="461"/>
      <c r="O846" s="470"/>
      <c r="P846" s="568" t="str">
        <f>IF(LEFT(B846,5)="09735",
    IF(ISNA(VLOOKUP(Tabla13[[#This Row],[Apoyo]],'LM SAP'!A:G,1,FALSE)),
        "No Disponible",
        IF(VLOOKUP(Tabla13[[#This Row],[Apoyo]],'LM SAP'!A:AD,9,FALSE)="RR",
            "Disponible",
            "Firmas SAP"
        )
    ),
    "CONSULTAR"
)</f>
        <v>CONSULTAR</v>
      </c>
      <c r="Q846" s="460"/>
      <c r="S846" s="460"/>
      <c r="T846" s="465"/>
      <c r="X846" s="466"/>
    </row>
    <row r="847" spans="1:24" s="464" customFormat="1" ht="15" customHeight="1" x14ac:dyDescent="0.25">
      <c r="A847" s="453"/>
      <c r="B847" s="454"/>
      <c r="C847" s="469"/>
      <c r="D847" s="456"/>
      <c r="E847" s="457"/>
      <c r="F847" s="458"/>
      <c r="G847" s="459"/>
      <c r="H847" s="460"/>
      <c r="I847" s="460"/>
      <c r="J847" s="460"/>
      <c r="K847" s="517"/>
      <c r="L847" s="460"/>
      <c r="M847" s="461"/>
      <c r="N847" s="461"/>
      <c r="O847" s="470"/>
      <c r="P847" s="568" t="str">
        <f>IF(LEFT(B847,5)="09735",
    IF(ISNA(VLOOKUP(Tabla13[[#This Row],[Apoyo]],'LM SAP'!A:G,1,FALSE)),
        "No Disponible",
        IF(VLOOKUP(Tabla13[[#This Row],[Apoyo]],'LM SAP'!A:AD,9,FALSE)="RR",
            "Disponible",
            "Firmas SAP"
        )
    ),
    "CONSULTAR"
)</f>
        <v>CONSULTAR</v>
      </c>
      <c r="Q847" s="460"/>
      <c r="S847" s="460"/>
      <c r="T847" s="465"/>
      <c r="X847" s="466"/>
    </row>
    <row r="848" spans="1:24" s="464" customFormat="1" ht="15" customHeight="1" x14ac:dyDescent="0.25">
      <c r="A848" s="453"/>
      <c r="B848" s="454"/>
      <c r="C848" s="469"/>
      <c r="D848" s="456"/>
      <c r="E848" s="457"/>
      <c r="F848" s="458"/>
      <c r="G848" s="459"/>
      <c r="H848" s="460"/>
      <c r="I848" s="460"/>
      <c r="J848" s="460"/>
      <c r="K848" s="517"/>
      <c r="L848" s="460"/>
      <c r="M848" s="461"/>
      <c r="N848" s="461"/>
      <c r="O848" s="470"/>
      <c r="P848" s="568" t="str">
        <f>IF(LEFT(B848,5)="09735",
    IF(ISNA(VLOOKUP(Tabla13[[#This Row],[Apoyo]],'LM SAP'!A:G,1,FALSE)),
        "No Disponible",
        IF(VLOOKUP(Tabla13[[#This Row],[Apoyo]],'LM SAP'!A:AD,9,FALSE)="RR",
            "Disponible",
            "Firmas SAP"
        )
    ),
    "CONSULTAR"
)</f>
        <v>CONSULTAR</v>
      </c>
      <c r="Q848" s="460"/>
      <c r="S848" s="460"/>
      <c r="T848" s="465"/>
      <c r="X848" s="466"/>
    </row>
    <row r="849" spans="1:24" s="464" customFormat="1" ht="15" customHeight="1" x14ac:dyDescent="0.25">
      <c r="A849" s="453"/>
      <c r="B849" s="454"/>
      <c r="C849" s="469"/>
      <c r="D849" s="456"/>
      <c r="E849" s="457"/>
      <c r="F849" s="458"/>
      <c r="G849" s="459"/>
      <c r="H849" s="460"/>
      <c r="I849" s="460"/>
      <c r="J849" s="460"/>
      <c r="K849" s="517"/>
      <c r="L849" s="460"/>
      <c r="M849" s="461"/>
      <c r="N849" s="461"/>
      <c r="O849" s="470"/>
      <c r="P849" s="568" t="str">
        <f>IF(LEFT(B849,5)="09735",
    IF(ISNA(VLOOKUP(Tabla13[[#This Row],[Apoyo]],'LM SAP'!A:G,1,FALSE)),
        "No Disponible",
        IF(VLOOKUP(Tabla13[[#This Row],[Apoyo]],'LM SAP'!A:AD,9,FALSE)="RR",
            "Disponible",
            "Firmas SAP"
        )
    ),
    "CONSULTAR"
)</f>
        <v>CONSULTAR</v>
      </c>
      <c r="Q849" s="460"/>
      <c r="S849" s="460"/>
      <c r="T849" s="465"/>
      <c r="X849" s="466"/>
    </row>
    <row r="850" spans="1:24" s="464" customFormat="1" ht="15" customHeight="1" x14ac:dyDescent="0.25">
      <c r="A850" s="453"/>
      <c r="B850" s="454"/>
      <c r="C850" s="469"/>
      <c r="D850" s="456"/>
      <c r="E850" s="457"/>
      <c r="F850" s="458"/>
      <c r="G850" s="459"/>
      <c r="H850" s="460"/>
      <c r="I850" s="460"/>
      <c r="J850" s="460"/>
      <c r="K850" s="517"/>
      <c r="L850" s="460"/>
      <c r="M850" s="461"/>
      <c r="N850" s="461"/>
      <c r="O850" s="470"/>
      <c r="P850" s="568" t="str">
        <f>IF(LEFT(B850,5)="09735",
    IF(ISNA(VLOOKUP(Tabla13[[#This Row],[Apoyo]],'LM SAP'!A:G,1,FALSE)),
        "No Disponible",
        IF(VLOOKUP(Tabla13[[#This Row],[Apoyo]],'LM SAP'!A:AD,9,FALSE)="RR",
            "Disponible",
            "Firmas SAP"
        )
    ),
    "CONSULTAR"
)</f>
        <v>CONSULTAR</v>
      </c>
      <c r="Q850" s="460"/>
      <c r="S850" s="460"/>
      <c r="T850" s="465"/>
      <c r="X850" s="466"/>
    </row>
    <row r="851" spans="1:24" s="464" customFormat="1" ht="15" customHeight="1" x14ac:dyDescent="0.25">
      <c r="A851" s="453"/>
      <c r="B851" s="454"/>
      <c r="C851" s="469"/>
      <c r="D851" s="456"/>
      <c r="E851" s="457"/>
      <c r="F851" s="458"/>
      <c r="G851" s="459"/>
      <c r="H851" s="460"/>
      <c r="I851" s="460"/>
      <c r="J851" s="460"/>
      <c r="K851" s="517"/>
      <c r="L851" s="460"/>
      <c r="M851" s="461"/>
      <c r="N851" s="461"/>
      <c r="O851" s="470"/>
      <c r="P851" s="568" t="str">
        <f>IF(LEFT(B851,5)="09735",
    IF(ISNA(VLOOKUP(Tabla13[[#This Row],[Apoyo]],'LM SAP'!A:G,1,FALSE)),
        "No Disponible",
        IF(VLOOKUP(Tabla13[[#This Row],[Apoyo]],'LM SAP'!A:AD,9,FALSE)="RR",
            "Disponible",
            "Firmas SAP"
        )
    ),
    "CONSULTAR"
)</f>
        <v>CONSULTAR</v>
      </c>
      <c r="Q851" s="460"/>
      <c r="S851" s="460"/>
      <c r="T851" s="465"/>
      <c r="X851" s="466"/>
    </row>
    <row r="852" spans="1:24" s="464" customFormat="1" ht="15" customHeight="1" x14ac:dyDescent="0.25">
      <c r="A852" s="453"/>
      <c r="B852" s="454"/>
      <c r="C852" s="469"/>
      <c r="D852" s="456"/>
      <c r="E852" s="457"/>
      <c r="F852" s="458"/>
      <c r="G852" s="459"/>
      <c r="H852" s="460"/>
      <c r="I852" s="460"/>
      <c r="J852" s="460"/>
      <c r="K852" s="517"/>
      <c r="L852" s="460"/>
      <c r="M852" s="461"/>
      <c r="N852" s="461"/>
      <c r="O852" s="470"/>
      <c r="P852" s="568" t="str">
        <f>IF(LEFT(B852,5)="09735",
    IF(ISNA(VLOOKUP(Tabla13[[#This Row],[Apoyo]],'LM SAP'!A:G,1,FALSE)),
        "No Disponible",
        IF(VLOOKUP(Tabla13[[#This Row],[Apoyo]],'LM SAP'!A:AD,9,FALSE)="RR",
            "Disponible",
            "Firmas SAP"
        )
    ),
    "CONSULTAR"
)</f>
        <v>CONSULTAR</v>
      </c>
      <c r="Q852" s="460"/>
      <c r="S852" s="460"/>
      <c r="T852" s="465"/>
      <c r="X852" s="466"/>
    </row>
    <row r="853" spans="1:24" s="464" customFormat="1" ht="15" customHeight="1" x14ac:dyDescent="0.25">
      <c r="A853" s="453"/>
      <c r="B853" s="454"/>
      <c r="C853" s="469"/>
      <c r="D853" s="456"/>
      <c r="E853" s="457"/>
      <c r="F853" s="458"/>
      <c r="G853" s="459"/>
      <c r="H853" s="460"/>
      <c r="I853" s="460"/>
      <c r="J853" s="460"/>
      <c r="K853" s="517"/>
      <c r="L853" s="460"/>
      <c r="M853" s="461"/>
      <c r="N853" s="461"/>
      <c r="O853" s="470"/>
      <c r="P853" s="568" t="str">
        <f>IF(LEFT(B853,5)="09735",
    IF(ISNA(VLOOKUP(Tabla13[[#This Row],[Apoyo]],'LM SAP'!A:G,1,FALSE)),
        "No Disponible",
        IF(VLOOKUP(Tabla13[[#This Row],[Apoyo]],'LM SAP'!A:AD,9,FALSE)="RR",
            "Disponible",
            "Firmas SAP"
        )
    ),
    "CONSULTAR"
)</f>
        <v>CONSULTAR</v>
      </c>
      <c r="Q853" s="460"/>
      <c r="S853" s="460"/>
      <c r="T853" s="465"/>
      <c r="X853" s="466"/>
    </row>
    <row r="854" spans="1:24" s="464" customFormat="1" ht="15" customHeight="1" x14ac:dyDescent="0.25">
      <c r="A854" s="453"/>
      <c r="B854" s="454"/>
      <c r="C854" s="469"/>
      <c r="D854" s="456"/>
      <c r="E854" s="457"/>
      <c r="F854" s="458"/>
      <c r="G854" s="459"/>
      <c r="H854" s="460"/>
      <c r="I854" s="460"/>
      <c r="J854" s="460"/>
      <c r="K854" s="517"/>
      <c r="L854" s="460"/>
      <c r="M854" s="461"/>
      <c r="N854" s="461"/>
      <c r="O854" s="470"/>
      <c r="P854" s="568" t="str">
        <f>IF(LEFT(B854,5)="09735",
    IF(ISNA(VLOOKUP(Tabla13[[#This Row],[Apoyo]],'LM SAP'!A:G,1,FALSE)),
        "No Disponible",
        IF(VLOOKUP(Tabla13[[#This Row],[Apoyo]],'LM SAP'!A:AD,9,FALSE)="RR",
            "Disponible",
            "Firmas SAP"
        )
    ),
    "CONSULTAR"
)</f>
        <v>CONSULTAR</v>
      </c>
      <c r="Q854" s="460"/>
      <c r="S854" s="460"/>
      <c r="T854" s="465"/>
      <c r="X854" s="466"/>
    </row>
    <row r="855" spans="1:24" s="464" customFormat="1" ht="15" customHeight="1" x14ac:dyDescent="0.25">
      <c r="A855" s="453"/>
      <c r="B855" s="454"/>
      <c r="C855" s="469"/>
      <c r="D855" s="456"/>
      <c r="E855" s="457"/>
      <c r="F855" s="458"/>
      <c r="G855" s="459"/>
      <c r="H855" s="460"/>
      <c r="I855" s="460"/>
      <c r="J855" s="460"/>
      <c r="K855" s="517"/>
      <c r="L855" s="460"/>
      <c r="M855" s="461"/>
      <c r="N855" s="461"/>
      <c r="O855" s="470"/>
      <c r="P855" s="568" t="str">
        <f>IF(LEFT(B855,5)="09735",
    IF(ISNA(VLOOKUP(Tabla13[[#This Row],[Apoyo]],'LM SAP'!A:G,1,FALSE)),
        "No Disponible",
        IF(VLOOKUP(Tabla13[[#This Row],[Apoyo]],'LM SAP'!A:AD,9,FALSE)="RR",
            "Disponible",
            "Firmas SAP"
        )
    ),
    "CONSULTAR"
)</f>
        <v>CONSULTAR</v>
      </c>
      <c r="Q855" s="460"/>
      <c r="S855" s="460"/>
      <c r="T855" s="465"/>
      <c r="X855" s="466"/>
    </row>
    <row r="856" spans="1:24" s="464" customFormat="1" ht="15" customHeight="1" x14ac:dyDescent="0.25">
      <c r="A856" s="453"/>
      <c r="B856" s="454"/>
      <c r="C856" s="469"/>
      <c r="D856" s="456"/>
      <c r="E856" s="457"/>
      <c r="F856" s="458"/>
      <c r="G856" s="459"/>
      <c r="H856" s="460"/>
      <c r="I856" s="460"/>
      <c r="J856" s="460"/>
      <c r="K856" s="517"/>
      <c r="L856" s="460"/>
      <c r="M856" s="461"/>
      <c r="N856" s="461"/>
      <c r="O856" s="470"/>
      <c r="P856" s="568" t="str">
        <f>IF(LEFT(B856,5)="09735",
    IF(ISNA(VLOOKUP(Tabla13[[#This Row],[Apoyo]],'LM SAP'!A:G,1,FALSE)),
        "No Disponible",
        IF(VLOOKUP(Tabla13[[#This Row],[Apoyo]],'LM SAP'!A:AD,9,FALSE)="RR",
            "Disponible",
            "Firmas SAP"
        )
    ),
    "CONSULTAR"
)</f>
        <v>CONSULTAR</v>
      </c>
      <c r="Q856" s="460"/>
      <c r="S856" s="460"/>
      <c r="T856" s="465"/>
      <c r="X856" s="466"/>
    </row>
    <row r="857" spans="1:24" s="464" customFormat="1" ht="15" customHeight="1" x14ac:dyDescent="0.25">
      <c r="A857" s="453"/>
      <c r="B857" s="454"/>
      <c r="C857" s="469"/>
      <c r="D857" s="456"/>
      <c r="E857" s="457"/>
      <c r="F857" s="458"/>
      <c r="G857" s="459"/>
      <c r="H857" s="460"/>
      <c r="I857" s="460"/>
      <c r="J857" s="460"/>
      <c r="K857" s="517"/>
      <c r="L857" s="460"/>
      <c r="M857" s="461"/>
      <c r="N857" s="461"/>
      <c r="O857" s="470"/>
      <c r="P857" s="568" t="str">
        <f>IF(LEFT(B857,5)="09735",
    IF(ISNA(VLOOKUP(Tabla13[[#This Row],[Apoyo]],'LM SAP'!A:G,1,FALSE)),
        "No Disponible",
        IF(VLOOKUP(Tabla13[[#This Row],[Apoyo]],'LM SAP'!A:AD,9,FALSE)="RR",
            "Disponible",
            "Firmas SAP"
        )
    ),
    "CONSULTAR"
)</f>
        <v>CONSULTAR</v>
      </c>
      <c r="Q857" s="460"/>
      <c r="S857" s="460"/>
      <c r="T857" s="465"/>
      <c r="X857" s="466"/>
    </row>
    <row r="858" spans="1:24" s="464" customFormat="1" ht="15" customHeight="1" x14ac:dyDescent="0.25">
      <c r="A858" s="453"/>
      <c r="B858" s="454"/>
      <c r="C858" s="469"/>
      <c r="D858" s="456"/>
      <c r="E858" s="457"/>
      <c r="F858" s="458"/>
      <c r="G858" s="459"/>
      <c r="H858" s="460"/>
      <c r="I858" s="460"/>
      <c r="J858" s="460"/>
      <c r="K858" s="517"/>
      <c r="L858" s="460"/>
      <c r="M858" s="461"/>
      <c r="N858" s="461"/>
      <c r="O858" s="470"/>
      <c r="P858" s="568" t="str">
        <f>IF(LEFT(B858,5)="09735",
    IF(ISNA(VLOOKUP(Tabla13[[#This Row],[Apoyo]],'LM SAP'!A:G,1,FALSE)),
        "No Disponible",
        IF(VLOOKUP(Tabla13[[#This Row],[Apoyo]],'LM SAP'!A:AD,9,FALSE)="RR",
            "Disponible",
            "Firmas SAP"
        )
    ),
    "CONSULTAR"
)</f>
        <v>CONSULTAR</v>
      </c>
      <c r="Q858" s="460"/>
      <c r="S858" s="460"/>
      <c r="T858" s="465"/>
      <c r="X858" s="466"/>
    </row>
    <row r="859" spans="1:24" s="464" customFormat="1" ht="15" customHeight="1" x14ac:dyDescent="0.25">
      <c r="A859" s="453"/>
      <c r="B859" s="454"/>
      <c r="C859" s="469"/>
      <c r="D859" s="456"/>
      <c r="E859" s="457"/>
      <c r="F859" s="458"/>
      <c r="G859" s="459"/>
      <c r="H859" s="460"/>
      <c r="I859" s="460"/>
      <c r="J859" s="460"/>
      <c r="K859" s="517"/>
      <c r="L859" s="460"/>
      <c r="M859" s="461"/>
      <c r="N859" s="461"/>
      <c r="O859" s="470"/>
      <c r="P859" s="568" t="str">
        <f>IF(LEFT(B859,5)="09735",
    IF(ISNA(VLOOKUP(Tabla13[[#This Row],[Apoyo]],'LM SAP'!A:G,1,FALSE)),
        "No Disponible",
        IF(VLOOKUP(Tabla13[[#This Row],[Apoyo]],'LM SAP'!A:AD,9,FALSE)="RR",
            "Disponible",
            "Firmas SAP"
        )
    ),
    "CONSULTAR"
)</f>
        <v>CONSULTAR</v>
      </c>
      <c r="Q859" s="460"/>
      <c r="S859" s="460"/>
      <c r="T859" s="465"/>
      <c r="X859" s="466"/>
    </row>
    <row r="860" spans="1:24" s="464" customFormat="1" ht="15" customHeight="1" x14ac:dyDescent="0.25">
      <c r="A860" s="453"/>
      <c r="B860" s="454"/>
      <c r="C860" s="469"/>
      <c r="D860" s="456"/>
      <c r="E860" s="457"/>
      <c r="F860" s="458"/>
      <c r="G860" s="459"/>
      <c r="H860" s="460"/>
      <c r="I860" s="460"/>
      <c r="J860" s="460"/>
      <c r="K860" s="517"/>
      <c r="L860" s="460"/>
      <c r="M860" s="461"/>
      <c r="N860" s="461"/>
      <c r="O860" s="470"/>
      <c r="P860" s="568" t="str">
        <f>IF(LEFT(B860,5)="09735",
    IF(ISNA(VLOOKUP(Tabla13[[#This Row],[Apoyo]],'LM SAP'!A:G,1,FALSE)),
        "No Disponible",
        IF(VLOOKUP(Tabla13[[#This Row],[Apoyo]],'LM SAP'!A:AD,9,FALSE)="RR",
            "Disponible",
            "Firmas SAP"
        )
    ),
    "CONSULTAR"
)</f>
        <v>CONSULTAR</v>
      </c>
      <c r="Q860" s="460"/>
      <c r="S860" s="460"/>
      <c r="T860" s="465"/>
      <c r="X860" s="466"/>
    </row>
    <row r="861" spans="1:24" s="464" customFormat="1" ht="15" customHeight="1" x14ac:dyDescent="0.25">
      <c r="A861" s="453"/>
      <c r="B861" s="454"/>
      <c r="C861" s="469"/>
      <c r="D861" s="456"/>
      <c r="E861" s="457"/>
      <c r="F861" s="458"/>
      <c r="G861" s="459"/>
      <c r="H861" s="460"/>
      <c r="I861" s="460"/>
      <c r="J861" s="460"/>
      <c r="K861" s="517"/>
      <c r="L861" s="460"/>
      <c r="M861" s="461"/>
      <c r="N861" s="461"/>
      <c r="O861" s="470"/>
      <c r="P861" s="568" t="str">
        <f>IF(LEFT(B861,5)="09735",
    IF(ISNA(VLOOKUP(Tabla13[[#This Row],[Apoyo]],'LM SAP'!A:G,1,FALSE)),
        "No Disponible",
        IF(VLOOKUP(Tabla13[[#This Row],[Apoyo]],'LM SAP'!A:AD,9,FALSE)="RR",
            "Disponible",
            "Firmas SAP"
        )
    ),
    "CONSULTAR"
)</f>
        <v>CONSULTAR</v>
      </c>
      <c r="Q861" s="460"/>
      <c r="S861" s="460"/>
      <c r="T861" s="465"/>
      <c r="X861" s="466"/>
    </row>
    <row r="862" spans="1:24" s="464" customFormat="1" ht="15" customHeight="1" x14ac:dyDescent="0.25">
      <c r="A862" s="453"/>
      <c r="B862" s="454"/>
      <c r="C862" s="469"/>
      <c r="D862" s="456"/>
      <c r="E862" s="457"/>
      <c r="F862" s="458"/>
      <c r="G862" s="459"/>
      <c r="H862" s="460"/>
      <c r="I862" s="460"/>
      <c r="J862" s="460"/>
      <c r="K862" s="517"/>
      <c r="L862" s="460"/>
      <c r="M862" s="461"/>
      <c r="N862" s="461"/>
      <c r="O862" s="470"/>
      <c r="P862" s="568" t="str">
        <f>IF(LEFT(B862,5)="09735",
    IF(ISNA(VLOOKUP(Tabla13[[#This Row],[Apoyo]],'LM SAP'!A:G,1,FALSE)),
        "No Disponible",
        IF(VLOOKUP(Tabla13[[#This Row],[Apoyo]],'LM SAP'!A:AD,9,FALSE)="RR",
            "Disponible",
            "Firmas SAP"
        )
    ),
    "CONSULTAR"
)</f>
        <v>CONSULTAR</v>
      </c>
      <c r="Q862" s="460"/>
      <c r="S862" s="460"/>
      <c r="T862" s="465"/>
      <c r="X862" s="466"/>
    </row>
    <row r="863" spans="1:24" s="464" customFormat="1" ht="15" customHeight="1" x14ac:dyDescent="0.25">
      <c r="A863" s="453"/>
      <c r="B863" s="454"/>
      <c r="C863" s="469"/>
      <c r="D863" s="456"/>
      <c r="E863" s="457"/>
      <c r="F863" s="458"/>
      <c r="G863" s="459"/>
      <c r="H863" s="460"/>
      <c r="I863" s="460"/>
      <c r="J863" s="460"/>
      <c r="K863" s="517"/>
      <c r="L863" s="460"/>
      <c r="M863" s="461"/>
      <c r="N863" s="461"/>
      <c r="O863" s="470"/>
      <c r="P863" s="568" t="str">
        <f>IF(LEFT(B863,5)="09735",
    IF(ISNA(VLOOKUP(Tabla13[[#This Row],[Apoyo]],'LM SAP'!A:G,1,FALSE)),
        "No Disponible",
        IF(VLOOKUP(Tabla13[[#This Row],[Apoyo]],'LM SAP'!A:AD,9,FALSE)="RR",
            "Disponible",
            "Firmas SAP"
        )
    ),
    "CONSULTAR"
)</f>
        <v>CONSULTAR</v>
      </c>
      <c r="Q863" s="460"/>
      <c r="S863" s="460"/>
      <c r="T863" s="465"/>
      <c r="X863" s="466"/>
    </row>
    <row r="864" spans="1:24" s="464" customFormat="1" ht="15" customHeight="1" x14ac:dyDescent="0.25">
      <c r="A864" s="453"/>
      <c r="B864" s="454"/>
      <c r="C864" s="469"/>
      <c r="D864" s="456"/>
      <c r="E864" s="457"/>
      <c r="F864" s="458"/>
      <c r="G864" s="459"/>
      <c r="H864" s="460"/>
      <c r="I864" s="460"/>
      <c r="J864" s="460"/>
      <c r="K864" s="517"/>
      <c r="L864" s="460"/>
      <c r="M864" s="461"/>
      <c r="N864" s="461"/>
      <c r="O864" s="470"/>
      <c r="P864" s="568" t="str">
        <f>IF(LEFT(B864,5)="09735",
    IF(ISNA(VLOOKUP(Tabla13[[#This Row],[Apoyo]],'LM SAP'!A:G,1,FALSE)),
        "No Disponible",
        IF(VLOOKUP(Tabla13[[#This Row],[Apoyo]],'LM SAP'!A:AD,9,FALSE)="RR",
            "Disponible",
            "Firmas SAP"
        )
    ),
    "CONSULTAR"
)</f>
        <v>CONSULTAR</v>
      </c>
      <c r="Q864" s="460"/>
      <c r="S864" s="460"/>
      <c r="T864" s="465"/>
      <c r="X864" s="466"/>
    </row>
    <row r="865" spans="1:24" s="464" customFormat="1" ht="15" customHeight="1" x14ac:dyDescent="0.25">
      <c r="A865" s="453"/>
      <c r="B865" s="454"/>
      <c r="C865" s="469"/>
      <c r="D865" s="456"/>
      <c r="E865" s="457"/>
      <c r="F865" s="458"/>
      <c r="G865" s="459"/>
      <c r="H865" s="460"/>
      <c r="I865" s="460"/>
      <c r="J865" s="460"/>
      <c r="K865" s="517"/>
      <c r="L865" s="460"/>
      <c r="M865" s="461"/>
      <c r="N865" s="461"/>
      <c r="O865" s="470"/>
      <c r="P865" s="568" t="str">
        <f>IF(LEFT(B865,5)="09735",
    IF(ISNA(VLOOKUP(Tabla13[[#This Row],[Apoyo]],'LM SAP'!A:G,1,FALSE)),
        "No Disponible",
        IF(VLOOKUP(Tabla13[[#This Row],[Apoyo]],'LM SAP'!A:AD,9,FALSE)="RR",
            "Disponible",
            "Firmas SAP"
        )
    ),
    "CONSULTAR"
)</f>
        <v>CONSULTAR</v>
      </c>
      <c r="Q865" s="460"/>
      <c r="S865" s="460"/>
      <c r="T865" s="465"/>
      <c r="X865" s="466"/>
    </row>
    <row r="866" spans="1:24" s="464" customFormat="1" ht="15" customHeight="1" x14ac:dyDescent="0.25">
      <c r="A866" s="453"/>
      <c r="B866" s="454"/>
      <c r="C866" s="469"/>
      <c r="D866" s="456"/>
      <c r="E866" s="457"/>
      <c r="F866" s="458"/>
      <c r="G866" s="459"/>
      <c r="H866" s="460"/>
      <c r="I866" s="460"/>
      <c r="J866" s="460"/>
      <c r="K866" s="517"/>
      <c r="L866" s="460"/>
      <c r="M866" s="461"/>
      <c r="N866" s="461"/>
      <c r="O866" s="470"/>
      <c r="P866" s="568" t="str">
        <f>IF(LEFT(B866,5)="09735",
    IF(ISNA(VLOOKUP(Tabla13[[#This Row],[Apoyo]],'LM SAP'!A:G,1,FALSE)),
        "No Disponible",
        IF(VLOOKUP(Tabla13[[#This Row],[Apoyo]],'LM SAP'!A:AD,9,FALSE)="RR",
            "Disponible",
            "Firmas SAP"
        )
    ),
    "CONSULTAR"
)</f>
        <v>CONSULTAR</v>
      </c>
      <c r="Q866" s="460"/>
      <c r="S866" s="460"/>
      <c r="T866" s="465"/>
      <c r="X866" s="466"/>
    </row>
    <row r="867" spans="1:24" s="464" customFormat="1" ht="15" customHeight="1" x14ac:dyDescent="0.25">
      <c r="A867" s="453"/>
      <c r="B867" s="454"/>
      <c r="C867" s="469"/>
      <c r="D867" s="456"/>
      <c r="E867" s="457"/>
      <c r="F867" s="458"/>
      <c r="G867" s="459"/>
      <c r="H867" s="460"/>
      <c r="I867" s="460"/>
      <c r="J867" s="460"/>
      <c r="K867" s="517"/>
      <c r="L867" s="460"/>
      <c r="M867" s="461"/>
      <c r="N867" s="461"/>
      <c r="O867" s="470"/>
      <c r="P867" s="568" t="str">
        <f>IF(LEFT(B867,5)="09735",
    IF(ISNA(VLOOKUP(Tabla13[[#This Row],[Apoyo]],'LM SAP'!A:G,1,FALSE)),
        "No Disponible",
        IF(VLOOKUP(Tabla13[[#This Row],[Apoyo]],'LM SAP'!A:AD,9,FALSE)="RR",
            "Disponible",
            "Firmas SAP"
        )
    ),
    "CONSULTAR"
)</f>
        <v>CONSULTAR</v>
      </c>
      <c r="Q867" s="460"/>
      <c r="S867" s="460"/>
      <c r="T867" s="465"/>
      <c r="X867" s="466"/>
    </row>
    <row r="868" spans="1:24" s="464" customFormat="1" ht="15" customHeight="1" x14ac:dyDescent="0.25">
      <c r="A868" s="453"/>
      <c r="B868" s="454"/>
      <c r="C868" s="469"/>
      <c r="D868" s="456"/>
      <c r="E868" s="457"/>
      <c r="F868" s="458"/>
      <c r="G868" s="459"/>
      <c r="H868" s="460"/>
      <c r="I868" s="460"/>
      <c r="J868" s="460"/>
      <c r="K868" s="517"/>
      <c r="L868" s="460"/>
      <c r="M868" s="461"/>
      <c r="N868" s="461"/>
      <c r="O868" s="470"/>
      <c r="P868" s="568" t="str">
        <f>IF(LEFT(B868,5)="09735",
    IF(ISNA(VLOOKUP(Tabla13[[#This Row],[Apoyo]],'LM SAP'!A:G,1,FALSE)),
        "No Disponible",
        IF(VLOOKUP(Tabla13[[#This Row],[Apoyo]],'LM SAP'!A:AD,9,FALSE)="RR",
            "Disponible",
            "Firmas SAP"
        )
    ),
    "CONSULTAR"
)</f>
        <v>CONSULTAR</v>
      </c>
      <c r="Q868" s="460"/>
      <c r="S868" s="460"/>
      <c r="T868" s="465"/>
      <c r="X868" s="466"/>
    </row>
    <row r="869" spans="1:24" s="464" customFormat="1" ht="15" customHeight="1" x14ac:dyDescent="0.25">
      <c r="A869" s="453"/>
      <c r="B869" s="454"/>
      <c r="C869" s="469"/>
      <c r="D869" s="456"/>
      <c r="E869" s="457"/>
      <c r="F869" s="458"/>
      <c r="G869" s="459"/>
      <c r="H869" s="460"/>
      <c r="I869" s="460"/>
      <c r="J869" s="460"/>
      <c r="K869" s="517"/>
      <c r="L869" s="460"/>
      <c r="M869" s="461"/>
      <c r="N869" s="461"/>
      <c r="O869" s="470"/>
      <c r="P869" s="568" t="str">
        <f>IF(LEFT(B869,5)="09735",
    IF(ISNA(VLOOKUP(Tabla13[[#This Row],[Apoyo]],'LM SAP'!A:G,1,FALSE)),
        "No Disponible",
        IF(VLOOKUP(Tabla13[[#This Row],[Apoyo]],'LM SAP'!A:AD,9,FALSE)="RR",
            "Disponible",
            "Firmas SAP"
        )
    ),
    "CONSULTAR"
)</f>
        <v>CONSULTAR</v>
      </c>
      <c r="Q869" s="460"/>
      <c r="S869" s="460"/>
      <c r="T869" s="465"/>
      <c r="X869" s="466"/>
    </row>
    <row r="870" spans="1:24" s="464" customFormat="1" ht="15" customHeight="1" x14ac:dyDescent="0.25">
      <c r="A870" s="453"/>
      <c r="B870" s="454"/>
      <c r="C870" s="469"/>
      <c r="D870" s="456"/>
      <c r="E870" s="457"/>
      <c r="F870" s="458"/>
      <c r="G870" s="459"/>
      <c r="H870" s="460"/>
      <c r="I870" s="460"/>
      <c r="J870" s="460"/>
      <c r="K870" s="517"/>
      <c r="L870" s="460"/>
      <c r="M870" s="461"/>
      <c r="N870" s="461"/>
      <c r="O870" s="470"/>
      <c r="P870" s="568" t="str">
        <f>IF(LEFT(B870,5)="09735",
    IF(ISNA(VLOOKUP(Tabla13[[#This Row],[Apoyo]],'LM SAP'!A:G,1,FALSE)),
        "No Disponible",
        IF(VLOOKUP(Tabla13[[#This Row],[Apoyo]],'LM SAP'!A:AD,9,FALSE)="RR",
            "Disponible",
            "Firmas SAP"
        )
    ),
    "CONSULTAR"
)</f>
        <v>CONSULTAR</v>
      </c>
      <c r="Q870" s="460"/>
      <c r="S870" s="460"/>
      <c r="T870" s="465"/>
      <c r="X870" s="466"/>
    </row>
    <row r="871" spans="1:24" s="464" customFormat="1" ht="15" customHeight="1" x14ac:dyDescent="0.25">
      <c r="A871" s="453"/>
      <c r="B871" s="454"/>
      <c r="C871" s="469"/>
      <c r="D871" s="456"/>
      <c r="E871" s="457"/>
      <c r="F871" s="458"/>
      <c r="G871" s="459"/>
      <c r="H871" s="460"/>
      <c r="I871" s="460"/>
      <c r="J871" s="460"/>
      <c r="K871" s="517"/>
      <c r="L871" s="460"/>
      <c r="M871" s="461"/>
      <c r="N871" s="461"/>
      <c r="O871" s="470"/>
      <c r="P871" s="568" t="str">
        <f>IF(LEFT(B871,5)="09735",
    IF(ISNA(VLOOKUP(Tabla13[[#This Row],[Apoyo]],'LM SAP'!A:G,1,FALSE)),
        "No Disponible",
        IF(VLOOKUP(Tabla13[[#This Row],[Apoyo]],'LM SAP'!A:AD,9,FALSE)="RR",
            "Disponible",
            "Firmas SAP"
        )
    ),
    "CONSULTAR"
)</f>
        <v>CONSULTAR</v>
      </c>
      <c r="Q871" s="460"/>
      <c r="S871" s="460"/>
      <c r="T871" s="465"/>
      <c r="X871" s="466"/>
    </row>
    <row r="872" spans="1:24" s="464" customFormat="1" ht="15" customHeight="1" x14ac:dyDescent="0.25">
      <c r="A872" s="453"/>
      <c r="B872" s="454"/>
      <c r="C872" s="469"/>
      <c r="D872" s="456"/>
      <c r="E872" s="457"/>
      <c r="F872" s="458"/>
      <c r="G872" s="459"/>
      <c r="H872" s="460"/>
      <c r="I872" s="460"/>
      <c r="J872" s="460"/>
      <c r="K872" s="517"/>
      <c r="L872" s="460"/>
      <c r="M872" s="461"/>
      <c r="N872" s="461"/>
      <c r="O872" s="470"/>
      <c r="P872" s="568" t="str">
        <f>IF(LEFT(B872,5)="09735",
    IF(ISNA(VLOOKUP(Tabla13[[#This Row],[Apoyo]],'LM SAP'!A:G,1,FALSE)),
        "No Disponible",
        IF(VLOOKUP(Tabla13[[#This Row],[Apoyo]],'LM SAP'!A:AD,9,FALSE)="RR",
            "Disponible",
            "Firmas SAP"
        )
    ),
    "CONSULTAR"
)</f>
        <v>CONSULTAR</v>
      </c>
      <c r="Q872" s="460"/>
      <c r="S872" s="460"/>
      <c r="T872" s="465"/>
      <c r="X872" s="466"/>
    </row>
    <row r="873" spans="1:24" s="464" customFormat="1" ht="15" customHeight="1" x14ac:dyDescent="0.25">
      <c r="A873" s="453"/>
      <c r="B873" s="454"/>
      <c r="C873" s="469"/>
      <c r="D873" s="456"/>
      <c r="E873" s="457"/>
      <c r="F873" s="458"/>
      <c r="G873" s="459"/>
      <c r="H873" s="460"/>
      <c r="I873" s="460"/>
      <c r="J873" s="460"/>
      <c r="K873" s="517"/>
      <c r="L873" s="460"/>
      <c r="M873" s="461"/>
      <c r="N873" s="461"/>
      <c r="O873" s="470"/>
      <c r="P873" s="568" t="str">
        <f>IF(LEFT(B873,5)="09735",
    IF(ISNA(VLOOKUP(Tabla13[[#This Row],[Apoyo]],'LM SAP'!A:G,1,FALSE)),
        "No Disponible",
        IF(VLOOKUP(Tabla13[[#This Row],[Apoyo]],'LM SAP'!A:AD,9,FALSE)="RR",
            "Disponible",
            "Firmas SAP"
        )
    ),
    "CONSULTAR"
)</f>
        <v>CONSULTAR</v>
      </c>
      <c r="Q873" s="460"/>
      <c r="S873" s="460"/>
      <c r="T873" s="465"/>
      <c r="X873" s="466"/>
    </row>
    <row r="874" spans="1:24" s="464" customFormat="1" ht="15" customHeight="1" x14ac:dyDescent="0.25">
      <c r="A874" s="453"/>
      <c r="B874" s="454"/>
      <c r="C874" s="469"/>
      <c r="D874" s="456"/>
      <c r="E874" s="457"/>
      <c r="F874" s="458"/>
      <c r="G874" s="459"/>
      <c r="H874" s="460"/>
      <c r="I874" s="460"/>
      <c r="J874" s="460"/>
      <c r="K874" s="517"/>
      <c r="L874" s="460"/>
      <c r="M874" s="461"/>
      <c r="N874" s="461"/>
      <c r="O874" s="470"/>
      <c r="P874" s="568" t="str">
        <f>IF(LEFT(B874,5)="09735",
    IF(ISNA(VLOOKUP(Tabla13[[#This Row],[Apoyo]],'LM SAP'!A:G,1,FALSE)),
        "No Disponible",
        IF(VLOOKUP(Tabla13[[#This Row],[Apoyo]],'LM SAP'!A:AD,9,FALSE)="RR",
            "Disponible",
            "Firmas SAP"
        )
    ),
    "CONSULTAR"
)</f>
        <v>CONSULTAR</v>
      </c>
      <c r="Q874" s="460"/>
      <c r="S874" s="460"/>
      <c r="T874" s="465"/>
      <c r="X874" s="466"/>
    </row>
    <row r="875" spans="1:24" s="464" customFormat="1" ht="15" customHeight="1" x14ac:dyDescent="0.25">
      <c r="A875" s="453"/>
      <c r="B875" s="454"/>
      <c r="C875" s="469"/>
      <c r="D875" s="456"/>
      <c r="E875" s="457"/>
      <c r="F875" s="458"/>
      <c r="G875" s="459"/>
      <c r="H875" s="460"/>
      <c r="I875" s="460"/>
      <c r="J875" s="460"/>
      <c r="K875" s="517"/>
      <c r="L875" s="460"/>
      <c r="M875" s="461"/>
      <c r="N875" s="461"/>
      <c r="O875" s="470"/>
      <c r="P875" s="568" t="str">
        <f>IF(LEFT(B875,5)="09735",
    IF(ISNA(VLOOKUP(Tabla13[[#This Row],[Apoyo]],'LM SAP'!A:G,1,FALSE)),
        "No Disponible",
        IF(VLOOKUP(Tabla13[[#This Row],[Apoyo]],'LM SAP'!A:AD,9,FALSE)="RR",
            "Disponible",
            "Firmas SAP"
        )
    ),
    "CONSULTAR"
)</f>
        <v>CONSULTAR</v>
      </c>
      <c r="Q875" s="460"/>
      <c r="S875" s="460"/>
      <c r="T875" s="465"/>
      <c r="X875" s="466"/>
    </row>
    <row r="876" spans="1:24" s="464" customFormat="1" ht="15" customHeight="1" x14ac:dyDescent="0.25">
      <c r="A876" s="453"/>
      <c r="B876" s="454"/>
      <c r="C876" s="469"/>
      <c r="D876" s="456"/>
      <c r="E876" s="457"/>
      <c r="F876" s="458"/>
      <c r="G876" s="459"/>
      <c r="H876" s="460"/>
      <c r="I876" s="460"/>
      <c r="J876" s="460"/>
      <c r="K876" s="517"/>
      <c r="L876" s="460"/>
      <c r="M876" s="461"/>
      <c r="N876" s="461"/>
      <c r="O876" s="470"/>
      <c r="P876" s="568" t="str">
        <f>IF(LEFT(B876,5)="09735",
    IF(ISNA(VLOOKUP(Tabla13[[#This Row],[Apoyo]],'LM SAP'!A:G,1,FALSE)),
        "No Disponible",
        IF(VLOOKUP(Tabla13[[#This Row],[Apoyo]],'LM SAP'!A:AD,9,FALSE)="RR",
            "Disponible",
            "Firmas SAP"
        )
    ),
    "CONSULTAR"
)</f>
        <v>CONSULTAR</v>
      </c>
      <c r="Q876" s="460"/>
      <c r="S876" s="460"/>
      <c r="T876" s="465"/>
      <c r="X876" s="466"/>
    </row>
    <row r="877" spans="1:24" s="464" customFormat="1" ht="15" customHeight="1" x14ac:dyDescent="0.25">
      <c r="A877" s="453"/>
      <c r="B877" s="454"/>
      <c r="C877" s="469"/>
      <c r="D877" s="456"/>
      <c r="E877" s="457"/>
      <c r="F877" s="458"/>
      <c r="G877" s="459"/>
      <c r="H877" s="460"/>
      <c r="I877" s="460"/>
      <c r="J877" s="460"/>
      <c r="K877" s="517"/>
      <c r="L877" s="460"/>
      <c r="M877" s="461"/>
      <c r="N877" s="461"/>
      <c r="O877" s="470"/>
      <c r="P877" s="568" t="str">
        <f>IF(LEFT(B877,5)="09735",
    IF(ISNA(VLOOKUP(Tabla13[[#This Row],[Apoyo]],'LM SAP'!A:G,1,FALSE)),
        "No Disponible",
        IF(VLOOKUP(Tabla13[[#This Row],[Apoyo]],'LM SAP'!A:AD,9,FALSE)="RR",
            "Disponible",
            "Firmas SAP"
        )
    ),
    "CONSULTAR"
)</f>
        <v>CONSULTAR</v>
      </c>
      <c r="Q877" s="460"/>
      <c r="S877" s="460"/>
      <c r="T877" s="465"/>
      <c r="X877" s="466"/>
    </row>
    <row r="878" spans="1:24" s="464" customFormat="1" ht="15" customHeight="1" x14ac:dyDescent="0.25">
      <c r="A878" s="453"/>
      <c r="B878" s="454"/>
      <c r="C878" s="469"/>
      <c r="D878" s="456"/>
      <c r="E878" s="457"/>
      <c r="F878" s="458"/>
      <c r="G878" s="459"/>
      <c r="H878" s="460"/>
      <c r="I878" s="460"/>
      <c r="J878" s="460"/>
      <c r="K878" s="517"/>
      <c r="L878" s="460"/>
      <c r="M878" s="461"/>
      <c r="N878" s="461"/>
      <c r="O878" s="470"/>
      <c r="P878" s="568" t="str">
        <f>IF(LEFT(B878,5)="09735",
    IF(ISNA(VLOOKUP(Tabla13[[#This Row],[Apoyo]],'LM SAP'!A:G,1,FALSE)),
        "No Disponible",
        IF(VLOOKUP(Tabla13[[#This Row],[Apoyo]],'LM SAP'!A:AD,9,FALSE)="RR",
            "Disponible",
            "Firmas SAP"
        )
    ),
    "CONSULTAR"
)</f>
        <v>CONSULTAR</v>
      </c>
      <c r="Q878" s="460"/>
      <c r="S878" s="460"/>
      <c r="T878" s="465"/>
      <c r="X878" s="466"/>
    </row>
    <row r="879" spans="1:24" s="464" customFormat="1" ht="15" customHeight="1" x14ac:dyDescent="0.25">
      <c r="A879" s="453"/>
      <c r="B879" s="454"/>
      <c r="C879" s="469"/>
      <c r="D879" s="456"/>
      <c r="E879" s="457"/>
      <c r="F879" s="458"/>
      <c r="G879" s="459"/>
      <c r="H879" s="460"/>
      <c r="I879" s="460"/>
      <c r="J879" s="460"/>
      <c r="K879" s="517"/>
      <c r="L879" s="460"/>
      <c r="M879" s="461"/>
      <c r="N879" s="461"/>
      <c r="O879" s="470"/>
      <c r="P879" s="568" t="str">
        <f>IF(LEFT(B879,5)="09735",
    IF(ISNA(VLOOKUP(Tabla13[[#This Row],[Apoyo]],'LM SAP'!A:G,1,FALSE)),
        "No Disponible",
        IF(VLOOKUP(Tabla13[[#This Row],[Apoyo]],'LM SAP'!A:AD,9,FALSE)="RR",
            "Disponible",
            "Firmas SAP"
        )
    ),
    "CONSULTAR"
)</f>
        <v>CONSULTAR</v>
      </c>
      <c r="Q879" s="460"/>
      <c r="S879" s="460"/>
      <c r="T879" s="465"/>
      <c r="X879" s="466"/>
    </row>
    <row r="880" spans="1:24" s="464" customFormat="1" ht="15" customHeight="1" x14ac:dyDescent="0.25">
      <c r="A880" s="453"/>
      <c r="B880" s="454"/>
      <c r="C880" s="469"/>
      <c r="D880" s="456"/>
      <c r="E880" s="457"/>
      <c r="F880" s="458"/>
      <c r="G880" s="459"/>
      <c r="H880" s="460"/>
      <c r="I880" s="460"/>
      <c r="J880" s="460"/>
      <c r="K880" s="517"/>
      <c r="L880" s="460"/>
      <c r="M880" s="461"/>
      <c r="N880" s="461"/>
      <c r="O880" s="470"/>
      <c r="P880" s="568" t="str">
        <f>IF(LEFT(B880,5)="09735",
    IF(ISNA(VLOOKUP(Tabla13[[#This Row],[Apoyo]],'LM SAP'!A:G,1,FALSE)),
        "No Disponible",
        IF(VLOOKUP(Tabla13[[#This Row],[Apoyo]],'LM SAP'!A:AD,9,FALSE)="RR",
            "Disponible",
            "Firmas SAP"
        )
    ),
    "CONSULTAR"
)</f>
        <v>CONSULTAR</v>
      </c>
      <c r="Q880" s="460"/>
      <c r="S880" s="460"/>
      <c r="T880" s="465"/>
      <c r="X880" s="466"/>
    </row>
    <row r="881" spans="1:24" s="464" customFormat="1" ht="15" customHeight="1" x14ac:dyDescent="0.25">
      <c r="A881" s="453"/>
      <c r="B881" s="454"/>
      <c r="C881" s="469"/>
      <c r="D881" s="456"/>
      <c r="E881" s="457"/>
      <c r="F881" s="458"/>
      <c r="G881" s="459"/>
      <c r="H881" s="460"/>
      <c r="I881" s="460"/>
      <c r="J881" s="460"/>
      <c r="K881" s="517"/>
      <c r="L881" s="460"/>
      <c r="M881" s="461"/>
      <c r="N881" s="461"/>
      <c r="O881" s="470"/>
      <c r="P881" s="568" t="str">
        <f>IF(LEFT(B881,5)="09735",
    IF(ISNA(VLOOKUP(Tabla13[[#This Row],[Apoyo]],'LM SAP'!A:G,1,FALSE)),
        "No Disponible",
        IF(VLOOKUP(Tabla13[[#This Row],[Apoyo]],'LM SAP'!A:AD,9,FALSE)="RR",
            "Disponible",
            "Firmas SAP"
        )
    ),
    "CONSULTAR"
)</f>
        <v>CONSULTAR</v>
      </c>
      <c r="Q881" s="460"/>
      <c r="S881" s="460"/>
      <c r="T881" s="465"/>
      <c r="X881" s="466"/>
    </row>
    <row r="882" spans="1:24" s="464" customFormat="1" ht="15" customHeight="1" x14ac:dyDescent="0.25">
      <c r="A882" s="453"/>
      <c r="B882" s="454"/>
      <c r="C882" s="469"/>
      <c r="D882" s="456"/>
      <c r="E882" s="457"/>
      <c r="F882" s="458"/>
      <c r="G882" s="459"/>
      <c r="H882" s="460"/>
      <c r="I882" s="460"/>
      <c r="J882" s="460"/>
      <c r="K882" s="517"/>
      <c r="L882" s="460"/>
      <c r="M882" s="461"/>
      <c r="N882" s="461"/>
      <c r="O882" s="470"/>
      <c r="P882" s="568" t="str">
        <f>IF(LEFT(B882,5)="09735",
    IF(ISNA(VLOOKUP(Tabla13[[#This Row],[Apoyo]],'LM SAP'!A:G,1,FALSE)),
        "No Disponible",
        IF(VLOOKUP(Tabla13[[#This Row],[Apoyo]],'LM SAP'!A:AD,9,FALSE)="RR",
            "Disponible",
            "Firmas SAP"
        )
    ),
    "CONSULTAR"
)</f>
        <v>CONSULTAR</v>
      </c>
      <c r="Q882" s="460"/>
      <c r="S882" s="460"/>
      <c r="T882" s="465"/>
      <c r="X882" s="466"/>
    </row>
    <row r="883" spans="1:24" s="464" customFormat="1" ht="15" customHeight="1" x14ac:dyDescent="0.25">
      <c r="A883" s="453"/>
      <c r="B883" s="454"/>
      <c r="C883" s="469"/>
      <c r="D883" s="456"/>
      <c r="E883" s="457"/>
      <c r="F883" s="458"/>
      <c r="G883" s="459"/>
      <c r="H883" s="460"/>
      <c r="I883" s="460"/>
      <c r="J883" s="460"/>
      <c r="K883" s="517"/>
      <c r="L883" s="460"/>
      <c r="M883" s="461"/>
      <c r="N883" s="461"/>
      <c r="O883" s="470"/>
      <c r="P883" s="568" t="str">
        <f>IF(LEFT(B883,5)="09735",
    IF(ISNA(VLOOKUP(Tabla13[[#This Row],[Apoyo]],'LM SAP'!A:G,1,FALSE)),
        "No Disponible",
        IF(VLOOKUP(Tabla13[[#This Row],[Apoyo]],'LM SAP'!A:AD,9,FALSE)="RR",
            "Disponible",
            "Firmas SAP"
        )
    ),
    "CONSULTAR"
)</f>
        <v>CONSULTAR</v>
      </c>
      <c r="Q883" s="460"/>
      <c r="S883" s="460"/>
      <c r="T883" s="465"/>
      <c r="X883" s="466"/>
    </row>
    <row r="884" spans="1:24" s="464" customFormat="1" ht="15" customHeight="1" x14ac:dyDescent="0.25">
      <c r="A884" s="453"/>
      <c r="B884" s="454"/>
      <c r="C884" s="469"/>
      <c r="D884" s="456"/>
      <c r="E884" s="457"/>
      <c r="F884" s="458"/>
      <c r="G884" s="459"/>
      <c r="H884" s="460"/>
      <c r="I884" s="460"/>
      <c r="J884" s="460"/>
      <c r="K884" s="517"/>
      <c r="L884" s="460"/>
      <c r="M884" s="461"/>
      <c r="N884" s="461"/>
      <c r="O884" s="470"/>
      <c r="P884" s="568" t="str">
        <f>IF(LEFT(B884,5)="09735",
    IF(ISNA(VLOOKUP(Tabla13[[#This Row],[Apoyo]],'LM SAP'!A:G,1,FALSE)),
        "No Disponible",
        IF(VLOOKUP(Tabla13[[#This Row],[Apoyo]],'LM SAP'!A:AD,9,FALSE)="RR",
            "Disponible",
            "Firmas SAP"
        )
    ),
    "CONSULTAR"
)</f>
        <v>CONSULTAR</v>
      </c>
      <c r="Q884" s="460"/>
      <c r="S884" s="460"/>
      <c r="T884" s="465"/>
      <c r="X884" s="466"/>
    </row>
    <row r="885" spans="1:24" s="464" customFormat="1" ht="15" customHeight="1" x14ac:dyDescent="0.25">
      <c r="A885" s="453"/>
      <c r="B885" s="454"/>
      <c r="C885" s="469"/>
      <c r="D885" s="456"/>
      <c r="E885" s="457"/>
      <c r="F885" s="458"/>
      <c r="G885" s="459"/>
      <c r="H885" s="460"/>
      <c r="I885" s="460"/>
      <c r="J885" s="460"/>
      <c r="K885" s="517"/>
      <c r="L885" s="460"/>
      <c r="M885" s="461"/>
      <c r="N885" s="461"/>
      <c r="O885" s="470"/>
      <c r="P885" s="568" t="str">
        <f>IF(LEFT(B885,5)="09735",
    IF(ISNA(VLOOKUP(Tabla13[[#This Row],[Apoyo]],'LM SAP'!A:G,1,FALSE)),
        "No Disponible",
        IF(VLOOKUP(Tabla13[[#This Row],[Apoyo]],'LM SAP'!A:AD,9,FALSE)="RR",
            "Disponible",
            "Firmas SAP"
        )
    ),
    "CONSULTAR"
)</f>
        <v>CONSULTAR</v>
      </c>
      <c r="Q885" s="460"/>
      <c r="S885" s="460"/>
      <c r="T885" s="465"/>
      <c r="X885" s="466"/>
    </row>
    <row r="886" spans="1:24" s="464" customFormat="1" ht="15" customHeight="1" x14ac:dyDescent="0.25">
      <c r="A886" s="453"/>
      <c r="B886" s="454"/>
      <c r="C886" s="469"/>
      <c r="D886" s="456"/>
      <c r="E886" s="457"/>
      <c r="F886" s="458"/>
      <c r="G886" s="459"/>
      <c r="H886" s="460"/>
      <c r="I886" s="460"/>
      <c r="J886" s="460"/>
      <c r="K886" s="517"/>
      <c r="L886" s="460"/>
      <c r="M886" s="461"/>
      <c r="N886" s="461"/>
      <c r="O886" s="470"/>
      <c r="P886" s="568" t="str">
        <f>IF(LEFT(B886,5)="09735",
    IF(ISNA(VLOOKUP(Tabla13[[#This Row],[Apoyo]],'LM SAP'!A:G,1,FALSE)),
        "No Disponible",
        IF(VLOOKUP(Tabla13[[#This Row],[Apoyo]],'LM SAP'!A:AD,9,FALSE)="RR",
            "Disponible",
            "Firmas SAP"
        )
    ),
    "CONSULTAR"
)</f>
        <v>CONSULTAR</v>
      </c>
      <c r="Q886" s="460"/>
      <c r="S886" s="460"/>
      <c r="T886" s="465"/>
      <c r="X886" s="466"/>
    </row>
    <row r="887" spans="1:24" s="464" customFormat="1" ht="15" customHeight="1" x14ac:dyDescent="0.25">
      <c r="A887" s="453"/>
      <c r="B887" s="454"/>
      <c r="C887" s="469"/>
      <c r="D887" s="456"/>
      <c r="E887" s="457"/>
      <c r="F887" s="458"/>
      <c r="G887" s="459"/>
      <c r="H887" s="460"/>
      <c r="I887" s="460"/>
      <c r="J887" s="460"/>
      <c r="K887" s="517"/>
      <c r="L887" s="460"/>
      <c r="M887" s="461"/>
      <c r="N887" s="461"/>
      <c r="O887" s="470"/>
      <c r="P887" s="568" t="str">
        <f>IF(LEFT(B887,5)="09735",
    IF(ISNA(VLOOKUP(Tabla13[[#This Row],[Apoyo]],'LM SAP'!A:G,1,FALSE)),
        "No Disponible",
        IF(VLOOKUP(Tabla13[[#This Row],[Apoyo]],'LM SAP'!A:AD,9,FALSE)="RR",
            "Disponible",
            "Firmas SAP"
        )
    ),
    "CONSULTAR"
)</f>
        <v>CONSULTAR</v>
      </c>
      <c r="Q887" s="460"/>
      <c r="S887" s="460"/>
      <c r="T887" s="465"/>
      <c r="X887" s="466"/>
    </row>
    <row r="888" spans="1:24" s="464" customFormat="1" ht="15" customHeight="1" x14ac:dyDescent="0.25">
      <c r="A888" s="453"/>
      <c r="B888" s="454"/>
      <c r="C888" s="469"/>
      <c r="D888" s="456"/>
      <c r="E888" s="457"/>
      <c r="F888" s="458"/>
      <c r="G888" s="459"/>
      <c r="H888" s="460"/>
      <c r="I888" s="460"/>
      <c r="J888" s="460"/>
      <c r="K888" s="517"/>
      <c r="L888" s="460"/>
      <c r="M888" s="461"/>
      <c r="N888" s="461"/>
      <c r="O888" s="470"/>
      <c r="P888" s="568" t="str">
        <f>IF(LEFT(B888,5)="09735",
    IF(ISNA(VLOOKUP(Tabla13[[#This Row],[Apoyo]],'LM SAP'!A:G,1,FALSE)),
        "No Disponible",
        IF(VLOOKUP(Tabla13[[#This Row],[Apoyo]],'LM SAP'!A:AD,9,FALSE)="RR",
            "Disponible",
            "Firmas SAP"
        )
    ),
    "CONSULTAR"
)</f>
        <v>CONSULTAR</v>
      </c>
      <c r="Q888" s="460"/>
      <c r="S888" s="460"/>
      <c r="T888" s="465"/>
      <c r="X888" s="466"/>
    </row>
    <row r="889" spans="1:24" s="464" customFormat="1" ht="15" customHeight="1" x14ac:dyDescent="0.25">
      <c r="A889" s="453"/>
      <c r="B889" s="454"/>
      <c r="C889" s="469"/>
      <c r="D889" s="456"/>
      <c r="E889" s="457"/>
      <c r="F889" s="458"/>
      <c r="G889" s="459"/>
      <c r="H889" s="460"/>
      <c r="I889" s="460"/>
      <c r="J889" s="460"/>
      <c r="K889" s="517"/>
      <c r="L889" s="460"/>
      <c r="M889" s="461"/>
      <c r="N889" s="461"/>
      <c r="O889" s="470"/>
      <c r="P889" s="568" t="str">
        <f>IF(LEFT(B889,5)="09735",
    IF(ISNA(VLOOKUP(Tabla13[[#This Row],[Apoyo]],'LM SAP'!A:G,1,FALSE)),
        "No Disponible",
        IF(VLOOKUP(Tabla13[[#This Row],[Apoyo]],'LM SAP'!A:AD,9,FALSE)="RR",
            "Disponible",
            "Firmas SAP"
        )
    ),
    "CONSULTAR"
)</f>
        <v>CONSULTAR</v>
      </c>
      <c r="Q889" s="460"/>
      <c r="S889" s="460"/>
      <c r="T889" s="465"/>
      <c r="X889" s="466"/>
    </row>
    <row r="890" spans="1:24" s="464" customFormat="1" ht="15" customHeight="1" x14ac:dyDescent="0.25">
      <c r="A890" s="453"/>
      <c r="B890" s="454"/>
      <c r="C890" s="469"/>
      <c r="D890" s="456"/>
      <c r="E890" s="457"/>
      <c r="F890" s="458"/>
      <c r="G890" s="459"/>
      <c r="H890" s="460"/>
      <c r="I890" s="460"/>
      <c r="J890" s="460"/>
      <c r="K890" s="517"/>
      <c r="L890" s="460"/>
      <c r="M890" s="461"/>
      <c r="N890" s="461"/>
      <c r="O890" s="470"/>
      <c r="P890" s="568" t="str">
        <f>IF(LEFT(B890,5)="09735",
    IF(ISNA(VLOOKUP(Tabla13[[#This Row],[Apoyo]],'LM SAP'!A:G,1,FALSE)),
        "No Disponible",
        IF(VLOOKUP(Tabla13[[#This Row],[Apoyo]],'LM SAP'!A:AD,9,FALSE)="RR",
            "Disponible",
            "Firmas SAP"
        )
    ),
    "CONSULTAR"
)</f>
        <v>CONSULTAR</v>
      </c>
      <c r="Q890" s="460"/>
      <c r="S890" s="460"/>
      <c r="T890" s="465"/>
      <c r="X890" s="466"/>
    </row>
    <row r="891" spans="1:24" s="464" customFormat="1" ht="15" customHeight="1" x14ac:dyDescent="0.25">
      <c r="A891" s="453"/>
      <c r="B891" s="454"/>
      <c r="C891" s="469"/>
      <c r="D891" s="456"/>
      <c r="E891" s="457"/>
      <c r="F891" s="458"/>
      <c r="G891" s="459"/>
      <c r="H891" s="460"/>
      <c r="I891" s="460"/>
      <c r="J891" s="460"/>
      <c r="K891" s="517"/>
      <c r="L891" s="460"/>
      <c r="M891" s="461"/>
      <c r="N891" s="461"/>
      <c r="O891" s="470"/>
      <c r="P891" s="568" t="str">
        <f>IF(LEFT(B891,5)="09735",
    IF(ISNA(VLOOKUP(Tabla13[[#This Row],[Apoyo]],'LM SAP'!A:G,1,FALSE)),
        "No Disponible",
        IF(VLOOKUP(Tabla13[[#This Row],[Apoyo]],'LM SAP'!A:AD,9,FALSE)="RR",
            "Disponible",
            "Firmas SAP"
        )
    ),
    "CONSULTAR"
)</f>
        <v>CONSULTAR</v>
      </c>
      <c r="Q891" s="460"/>
      <c r="S891" s="460"/>
      <c r="T891" s="465"/>
      <c r="X891" s="466"/>
    </row>
    <row r="892" spans="1:24" s="464" customFormat="1" ht="15" customHeight="1" x14ac:dyDescent="0.25">
      <c r="A892" s="453"/>
      <c r="B892" s="454"/>
      <c r="C892" s="469"/>
      <c r="D892" s="456"/>
      <c r="E892" s="457"/>
      <c r="F892" s="458"/>
      <c r="G892" s="459"/>
      <c r="H892" s="460"/>
      <c r="I892" s="460"/>
      <c r="J892" s="460"/>
      <c r="K892" s="517"/>
      <c r="L892" s="460"/>
      <c r="M892" s="461"/>
      <c r="N892" s="461"/>
      <c r="O892" s="470"/>
      <c r="P892" s="568" t="str">
        <f>IF(LEFT(B892,5)="09735",
    IF(ISNA(VLOOKUP(Tabla13[[#This Row],[Apoyo]],'LM SAP'!A:G,1,FALSE)),
        "No Disponible",
        IF(VLOOKUP(Tabla13[[#This Row],[Apoyo]],'LM SAP'!A:AD,9,FALSE)="RR",
            "Disponible",
            "Firmas SAP"
        )
    ),
    "CONSULTAR"
)</f>
        <v>CONSULTAR</v>
      </c>
      <c r="Q892" s="460"/>
      <c r="S892" s="460"/>
      <c r="T892" s="465"/>
      <c r="X892" s="466"/>
    </row>
    <row r="893" spans="1:24" s="464" customFormat="1" ht="15" customHeight="1" x14ac:dyDescent="0.25">
      <c r="A893" s="453"/>
      <c r="B893" s="454"/>
      <c r="C893" s="469"/>
      <c r="D893" s="456"/>
      <c r="E893" s="457"/>
      <c r="F893" s="458"/>
      <c r="G893" s="459"/>
      <c r="H893" s="460"/>
      <c r="I893" s="460"/>
      <c r="J893" s="460"/>
      <c r="K893" s="517"/>
      <c r="L893" s="460"/>
      <c r="M893" s="461"/>
      <c r="N893" s="461"/>
      <c r="O893" s="470"/>
      <c r="P893" s="568" t="str">
        <f>IF(LEFT(B893,5)="09735",
    IF(ISNA(VLOOKUP(Tabla13[[#This Row],[Apoyo]],'LM SAP'!A:G,1,FALSE)),
        "No Disponible",
        IF(VLOOKUP(Tabla13[[#This Row],[Apoyo]],'LM SAP'!A:AD,9,FALSE)="RR",
            "Disponible",
            "Firmas SAP"
        )
    ),
    "CONSULTAR"
)</f>
        <v>CONSULTAR</v>
      </c>
      <c r="Q893" s="460"/>
      <c r="S893" s="460"/>
      <c r="T893" s="465"/>
      <c r="X893" s="466"/>
    </row>
    <row r="894" spans="1:24" s="464" customFormat="1" ht="15" customHeight="1" x14ac:dyDescent="0.25">
      <c r="A894" s="453"/>
      <c r="B894" s="454"/>
      <c r="C894" s="469"/>
      <c r="D894" s="456"/>
      <c r="E894" s="457"/>
      <c r="F894" s="458"/>
      <c r="G894" s="459"/>
      <c r="H894" s="460"/>
      <c r="I894" s="460"/>
      <c r="J894" s="460"/>
      <c r="K894" s="517"/>
      <c r="L894" s="460"/>
      <c r="M894" s="461"/>
      <c r="N894" s="461"/>
      <c r="O894" s="470"/>
      <c r="P894" s="568" t="str">
        <f>IF(LEFT(B894,5)="09735",
    IF(ISNA(VLOOKUP(Tabla13[[#This Row],[Apoyo]],'LM SAP'!A:G,1,FALSE)),
        "No Disponible",
        IF(VLOOKUP(Tabla13[[#This Row],[Apoyo]],'LM SAP'!A:AD,9,FALSE)="RR",
            "Disponible",
            "Firmas SAP"
        )
    ),
    "CONSULTAR"
)</f>
        <v>CONSULTAR</v>
      </c>
      <c r="Q894" s="460"/>
      <c r="S894" s="460"/>
      <c r="T894" s="465"/>
      <c r="X894" s="466"/>
    </row>
    <row r="895" spans="1:24" s="464" customFormat="1" ht="15" customHeight="1" x14ac:dyDescent="0.25">
      <c r="A895" s="453"/>
      <c r="B895" s="454"/>
      <c r="C895" s="469"/>
      <c r="D895" s="456"/>
      <c r="E895" s="457"/>
      <c r="F895" s="458"/>
      <c r="G895" s="459"/>
      <c r="H895" s="460"/>
      <c r="I895" s="460"/>
      <c r="J895" s="460"/>
      <c r="K895" s="517"/>
      <c r="L895" s="460"/>
      <c r="M895" s="461"/>
      <c r="N895" s="461"/>
      <c r="O895" s="470"/>
      <c r="P895" s="568" t="str">
        <f>IF(LEFT(B895,5)="09735",
    IF(ISNA(VLOOKUP(Tabla13[[#This Row],[Apoyo]],'LM SAP'!A:G,1,FALSE)),
        "No Disponible",
        IF(VLOOKUP(Tabla13[[#This Row],[Apoyo]],'LM SAP'!A:AD,9,FALSE)="RR",
            "Disponible",
            "Firmas SAP"
        )
    ),
    "CONSULTAR"
)</f>
        <v>CONSULTAR</v>
      </c>
      <c r="Q895" s="460"/>
      <c r="S895" s="460"/>
      <c r="T895" s="465"/>
      <c r="X895" s="466"/>
    </row>
    <row r="896" spans="1:24" s="464" customFormat="1" ht="15" customHeight="1" x14ac:dyDescent="0.25">
      <c r="A896" s="453"/>
      <c r="B896" s="454"/>
      <c r="C896" s="469"/>
      <c r="D896" s="456"/>
      <c r="E896" s="457"/>
      <c r="F896" s="458"/>
      <c r="G896" s="459"/>
      <c r="H896" s="460"/>
      <c r="I896" s="460"/>
      <c r="J896" s="460"/>
      <c r="K896" s="517"/>
      <c r="L896" s="460"/>
      <c r="M896" s="461"/>
      <c r="N896" s="461"/>
      <c r="O896" s="470"/>
      <c r="P896" s="568" t="str">
        <f>IF(LEFT(B896,5)="09735",
    IF(ISNA(VLOOKUP(Tabla13[[#This Row],[Apoyo]],'LM SAP'!A:G,1,FALSE)),
        "No Disponible",
        IF(VLOOKUP(Tabla13[[#This Row],[Apoyo]],'LM SAP'!A:AD,9,FALSE)="RR",
            "Disponible",
            "Firmas SAP"
        )
    ),
    "CONSULTAR"
)</f>
        <v>CONSULTAR</v>
      </c>
      <c r="Q896" s="460"/>
      <c r="S896" s="460"/>
      <c r="T896" s="465"/>
      <c r="X896" s="466"/>
    </row>
    <row r="897" spans="1:24" s="464" customFormat="1" ht="15" customHeight="1" x14ac:dyDescent="0.25">
      <c r="A897" s="453"/>
      <c r="B897" s="454"/>
      <c r="C897" s="469"/>
      <c r="D897" s="456"/>
      <c r="E897" s="457"/>
      <c r="F897" s="458"/>
      <c r="G897" s="459"/>
      <c r="H897" s="460"/>
      <c r="I897" s="460"/>
      <c r="J897" s="460"/>
      <c r="K897" s="517"/>
      <c r="L897" s="460"/>
      <c r="M897" s="461"/>
      <c r="N897" s="461"/>
      <c r="O897" s="470"/>
      <c r="P897" s="568" t="str">
        <f>IF(LEFT(B897,5)="09735",
    IF(ISNA(VLOOKUP(Tabla13[[#This Row],[Apoyo]],'LM SAP'!A:G,1,FALSE)),
        "No Disponible",
        IF(VLOOKUP(Tabla13[[#This Row],[Apoyo]],'LM SAP'!A:AD,9,FALSE)="RR",
            "Disponible",
            "Firmas SAP"
        )
    ),
    "CONSULTAR"
)</f>
        <v>CONSULTAR</v>
      </c>
      <c r="Q897" s="460"/>
      <c r="S897" s="460"/>
      <c r="T897" s="465"/>
      <c r="X897" s="466"/>
    </row>
    <row r="898" spans="1:24" s="464" customFormat="1" ht="15" customHeight="1" x14ac:dyDescent="0.25">
      <c r="A898" s="453"/>
      <c r="B898" s="454"/>
      <c r="C898" s="469"/>
      <c r="D898" s="456"/>
      <c r="E898" s="457"/>
      <c r="F898" s="458"/>
      <c r="G898" s="459"/>
      <c r="H898" s="460"/>
      <c r="I898" s="460"/>
      <c r="J898" s="460"/>
      <c r="K898" s="517"/>
      <c r="L898" s="460"/>
      <c r="M898" s="461"/>
      <c r="N898" s="461"/>
      <c r="O898" s="470"/>
      <c r="P898" s="568" t="str">
        <f>IF(LEFT(B898,5)="09735",
    IF(ISNA(VLOOKUP(Tabla13[[#This Row],[Apoyo]],'LM SAP'!A:G,1,FALSE)),
        "No Disponible",
        IF(VLOOKUP(Tabla13[[#This Row],[Apoyo]],'LM SAP'!A:AD,9,FALSE)="RR",
            "Disponible",
            "Firmas SAP"
        )
    ),
    "CONSULTAR"
)</f>
        <v>CONSULTAR</v>
      </c>
      <c r="Q898" s="460"/>
      <c r="S898" s="460"/>
      <c r="T898" s="465"/>
      <c r="X898" s="466"/>
    </row>
    <row r="899" spans="1:24" s="464" customFormat="1" ht="15" customHeight="1" x14ac:dyDescent="0.25">
      <c r="A899" s="453"/>
      <c r="B899" s="454"/>
      <c r="C899" s="469"/>
      <c r="D899" s="456"/>
      <c r="E899" s="457"/>
      <c r="F899" s="458"/>
      <c r="G899" s="459"/>
      <c r="H899" s="460"/>
      <c r="I899" s="460"/>
      <c r="J899" s="460"/>
      <c r="K899" s="517"/>
      <c r="L899" s="460"/>
      <c r="M899" s="461"/>
      <c r="N899" s="461"/>
      <c r="O899" s="470"/>
      <c r="P899" s="568" t="str">
        <f>IF(LEFT(B899,5)="09735",
    IF(ISNA(VLOOKUP(Tabla13[[#This Row],[Apoyo]],'LM SAP'!A:G,1,FALSE)),
        "No Disponible",
        IF(VLOOKUP(Tabla13[[#This Row],[Apoyo]],'LM SAP'!A:AD,9,FALSE)="RR",
            "Disponible",
            "Firmas SAP"
        )
    ),
    "CONSULTAR"
)</f>
        <v>CONSULTAR</v>
      </c>
      <c r="Q899" s="460"/>
      <c r="S899" s="460"/>
      <c r="T899" s="465"/>
      <c r="X899" s="466"/>
    </row>
    <row r="900" spans="1:24" s="464" customFormat="1" ht="15" customHeight="1" x14ac:dyDescent="0.25">
      <c r="A900" s="453"/>
      <c r="B900" s="454"/>
      <c r="C900" s="469"/>
      <c r="D900" s="456"/>
      <c r="E900" s="457"/>
      <c r="F900" s="458"/>
      <c r="G900" s="459"/>
      <c r="H900" s="460"/>
      <c r="I900" s="460"/>
      <c r="J900" s="460"/>
      <c r="K900" s="517"/>
      <c r="L900" s="460"/>
      <c r="M900" s="461"/>
      <c r="N900" s="461"/>
      <c r="O900" s="470"/>
      <c r="P900" s="568" t="str">
        <f>IF(LEFT(B900,5)="09735",
    IF(ISNA(VLOOKUP(Tabla13[[#This Row],[Apoyo]],'LM SAP'!A:G,1,FALSE)),
        "No Disponible",
        IF(VLOOKUP(Tabla13[[#This Row],[Apoyo]],'LM SAP'!A:AD,9,FALSE)="RR",
            "Disponible",
            "Firmas SAP"
        )
    ),
    "CONSULTAR"
)</f>
        <v>CONSULTAR</v>
      </c>
      <c r="Q900" s="460"/>
      <c r="S900" s="460"/>
      <c r="T900" s="465"/>
      <c r="X900" s="466"/>
    </row>
    <row r="901" spans="1:24" s="464" customFormat="1" ht="15" customHeight="1" x14ac:dyDescent="0.25">
      <c r="A901" s="453"/>
      <c r="B901" s="454"/>
      <c r="C901" s="469"/>
      <c r="D901" s="456"/>
      <c r="E901" s="457"/>
      <c r="F901" s="458"/>
      <c r="G901" s="459"/>
      <c r="H901" s="460"/>
      <c r="I901" s="460"/>
      <c r="J901" s="460"/>
      <c r="K901" s="517"/>
      <c r="L901" s="460"/>
      <c r="M901" s="461"/>
      <c r="N901" s="461"/>
      <c r="O901" s="470"/>
      <c r="P901" s="568" t="str">
        <f>IF(LEFT(B901,5)="09735",
    IF(ISNA(VLOOKUP(Tabla13[[#This Row],[Apoyo]],'LM SAP'!A:G,1,FALSE)),
        "No Disponible",
        IF(VLOOKUP(Tabla13[[#This Row],[Apoyo]],'LM SAP'!A:AD,9,FALSE)="RR",
            "Disponible",
            "Firmas SAP"
        )
    ),
    "CONSULTAR"
)</f>
        <v>CONSULTAR</v>
      </c>
      <c r="Q901" s="460"/>
      <c r="S901" s="460"/>
      <c r="T901" s="465"/>
      <c r="X901" s="466"/>
    </row>
    <row r="902" spans="1:24" s="464" customFormat="1" ht="15" customHeight="1" x14ac:dyDescent="0.25">
      <c r="A902" s="453"/>
      <c r="B902" s="454"/>
      <c r="C902" s="469"/>
      <c r="D902" s="456"/>
      <c r="E902" s="457"/>
      <c r="F902" s="458"/>
      <c r="G902" s="459"/>
      <c r="H902" s="460"/>
      <c r="I902" s="460"/>
      <c r="J902" s="460"/>
      <c r="K902" s="517"/>
      <c r="L902" s="460"/>
      <c r="M902" s="461"/>
      <c r="N902" s="461"/>
      <c r="O902" s="470"/>
      <c r="P902" s="568" t="str">
        <f>IF(LEFT(B902,5)="09735",
    IF(ISNA(VLOOKUP(Tabla13[[#This Row],[Apoyo]],'LM SAP'!A:G,1,FALSE)),
        "No Disponible",
        IF(VLOOKUP(Tabla13[[#This Row],[Apoyo]],'LM SAP'!A:AD,9,FALSE)="RR",
            "Disponible",
            "Firmas SAP"
        )
    ),
    "CONSULTAR"
)</f>
        <v>CONSULTAR</v>
      </c>
      <c r="Q902" s="460"/>
      <c r="S902" s="460"/>
      <c r="T902" s="465"/>
      <c r="X902" s="466"/>
    </row>
    <row r="903" spans="1:24" s="464" customFormat="1" ht="15" customHeight="1" x14ac:dyDescent="0.25">
      <c r="A903" s="453"/>
      <c r="B903" s="454"/>
      <c r="C903" s="469"/>
      <c r="D903" s="456"/>
      <c r="E903" s="457"/>
      <c r="F903" s="458"/>
      <c r="G903" s="459"/>
      <c r="H903" s="460"/>
      <c r="I903" s="460"/>
      <c r="J903" s="460"/>
      <c r="K903" s="517"/>
      <c r="L903" s="460"/>
      <c r="M903" s="461"/>
      <c r="N903" s="461"/>
      <c r="O903" s="470"/>
      <c r="P903" s="568" t="str">
        <f>IF(LEFT(B903,5)="09735",
    IF(ISNA(VLOOKUP(Tabla13[[#This Row],[Apoyo]],'LM SAP'!A:G,1,FALSE)),
        "No Disponible",
        IF(VLOOKUP(Tabla13[[#This Row],[Apoyo]],'LM SAP'!A:AD,9,FALSE)="RR",
            "Disponible",
            "Firmas SAP"
        )
    ),
    "CONSULTAR"
)</f>
        <v>CONSULTAR</v>
      </c>
      <c r="Q903" s="460"/>
      <c r="S903" s="460"/>
      <c r="T903" s="465"/>
      <c r="X903" s="466"/>
    </row>
    <row r="904" spans="1:24" s="464" customFormat="1" ht="15" customHeight="1" x14ac:dyDescent="0.25">
      <c r="A904" s="453"/>
      <c r="B904" s="454"/>
      <c r="C904" s="469"/>
      <c r="D904" s="456"/>
      <c r="E904" s="457"/>
      <c r="F904" s="458"/>
      <c r="G904" s="459"/>
      <c r="H904" s="460"/>
      <c r="I904" s="460"/>
      <c r="J904" s="460"/>
      <c r="K904" s="517"/>
      <c r="L904" s="460"/>
      <c r="M904" s="461"/>
      <c r="N904" s="461"/>
      <c r="O904" s="470"/>
      <c r="P904" s="568" t="str">
        <f>IF(LEFT(B904,5)="09735",
    IF(ISNA(VLOOKUP(Tabla13[[#This Row],[Apoyo]],'LM SAP'!A:G,1,FALSE)),
        "No Disponible",
        IF(VLOOKUP(Tabla13[[#This Row],[Apoyo]],'LM SAP'!A:AD,9,FALSE)="RR",
            "Disponible",
            "Firmas SAP"
        )
    ),
    "CONSULTAR"
)</f>
        <v>CONSULTAR</v>
      </c>
      <c r="Q904" s="460"/>
      <c r="S904" s="460"/>
      <c r="T904" s="465"/>
      <c r="X904" s="466"/>
    </row>
    <row r="905" spans="1:24" s="464" customFormat="1" ht="15" customHeight="1" x14ac:dyDescent="0.25">
      <c r="A905" s="453"/>
      <c r="B905" s="454"/>
      <c r="C905" s="469"/>
      <c r="D905" s="456"/>
      <c r="E905" s="457"/>
      <c r="F905" s="458"/>
      <c r="G905" s="459"/>
      <c r="H905" s="460"/>
      <c r="I905" s="460"/>
      <c r="J905" s="460"/>
      <c r="K905" s="517"/>
      <c r="L905" s="460"/>
      <c r="M905" s="461"/>
      <c r="N905" s="461"/>
      <c r="O905" s="470"/>
      <c r="P905" s="568" t="str">
        <f>IF(LEFT(B905,5)="09735",
    IF(ISNA(VLOOKUP(Tabla13[[#This Row],[Apoyo]],'LM SAP'!A:G,1,FALSE)),
        "No Disponible",
        IF(VLOOKUP(Tabla13[[#This Row],[Apoyo]],'LM SAP'!A:AD,9,FALSE)="RR",
            "Disponible",
            "Firmas SAP"
        )
    ),
    "CONSULTAR"
)</f>
        <v>CONSULTAR</v>
      </c>
      <c r="Q905" s="460"/>
      <c r="S905" s="460"/>
      <c r="T905" s="465"/>
      <c r="X905" s="466"/>
    </row>
    <row r="906" spans="1:24" s="464" customFormat="1" ht="15" customHeight="1" x14ac:dyDescent="0.25">
      <c r="A906" s="453"/>
      <c r="B906" s="454"/>
      <c r="C906" s="469"/>
      <c r="D906" s="456"/>
      <c r="E906" s="457"/>
      <c r="F906" s="458"/>
      <c r="G906" s="459"/>
      <c r="H906" s="460"/>
      <c r="I906" s="460"/>
      <c r="J906" s="460"/>
      <c r="K906" s="517"/>
      <c r="L906" s="460"/>
      <c r="M906" s="461"/>
      <c r="N906" s="461"/>
      <c r="O906" s="470"/>
      <c r="P906" s="568" t="str">
        <f>IF(LEFT(B906,5)="09735",
    IF(ISNA(VLOOKUP(Tabla13[[#This Row],[Apoyo]],'LM SAP'!A:G,1,FALSE)),
        "No Disponible",
        IF(VLOOKUP(Tabla13[[#This Row],[Apoyo]],'LM SAP'!A:AD,9,FALSE)="RR",
            "Disponible",
            "Firmas SAP"
        )
    ),
    "CONSULTAR"
)</f>
        <v>CONSULTAR</v>
      </c>
      <c r="Q906" s="460"/>
      <c r="S906" s="460"/>
      <c r="T906" s="465"/>
      <c r="X906" s="466"/>
    </row>
    <row r="907" spans="1:24" s="464" customFormat="1" ht="15" customHeight="1" x14ac:dyDescent="0.25">
      <c r="A907" s="453"/>
      <c r="B907" s="454"/>
      <c r="C907" s="469"/>
      <c r="D907" s="456"/>
      <c r="E907" s="457"/>
      <c r="F907" s="458"/>
      <c r="G907" s="459"/>
      <c r="H907" s="460"/>
      <c r="I907" s="460"/>
      <c r="J907" s="460"/>
      <c r="K907" s="517"/>
      <c r="L907" s="460"/>
      <c r="M907" s="461"/>
      <c r="N907" s="461"/>
      <c r="O907" s="470"/>
      <c r="P907" s="568" t="str">
        <f>IF(LEFT(B907,5)="09735",
    IF(ISNA(VLOOKUP(Tabla13[[#This Row],[Apoyo]],'LM SAP'!A:G,1,FALSE)),
        "No Disponible",
        IF(VLOOKUP(Tabla13[[#This Row],[Apoyo]],'LM SAP'!A:AD,9,FALSE)="RR",
            "Disponible",
            "Firmas SAP"
        )
    ),
    "CONSULTAR"
)</f>
        <v>CONSULTAR</v>
      </c>
      <c r="Q907" s="460"/>
      <c r="S907" s="460"/>
      <c r="T907" s="465"/>
      <c r="X907" s="466"/>
    </row>
    <row r="908" spans="1:24" s="464" customFormat="1" ht="15" customHeight="1" x14ac:dyDescent="0.25">
      <c r="A908" s="453"/>
      <c r="B908" s="454"/>
      <c r="C908" s="469"/>
      <c r="D908" s="456"/>
      <c r="E908" s="457"/>
      <c r="F908" s="458"/>
      <c r="G908" s="459"/>
      <c r="H908" s="460"/>
      <c r="I908" s="460"/>
      <c r="J908" s="460"/>
      <c r="K908" s="517"/>
      <c r="L908" s="460"/>
      <c r="M908" s="461"/>
      <c r="N908" s="461"/>
      <c r="O908" s="470"/>
      <c r="P908" s="568" t="str">
        <f>IF(LEFT(B908,5)="09735",
    IF(ISNA(VLOOKUP(Tabla13[[#This Row],[Apoyo]],'LM SAP'!A:G,1,FALSE)),
        "No Disponible",
        IF(VLOOKUP(Tabla13[[#This Row],[Apoyo]],'LM SAP'!A:AD,9,FALSE)="RR",
            "Disponible",
            "Firmas SAP"
        )
    ),
    "CONSULTAR"
)</f>
        <v>CONSULTAR</v>
      </c>
      <c r="Q908" s="460"/>
      <c r="S908" s="460"/>
      <c r="T908" s="465"/>
      <c r="X908" s="466"/>
    </row>
    <row r="909" spans="1:24" s="464" customFormat="1" ht="15" customHeight="1" x14ac:dyDescent="0.25">
      <c r="A909" s="453"/>
      <c r="B909" s="454"/>
      <c r="C909" s="469"/>
      <c r="D909" s="456"/>
      <c r="E909" s="457"/>
      <c r="F909" s="458"/>
      <c r="G909" s="459"/>
      <c r="H909" s="460"/>
      <c r="I909" s="460"/>
      <c r="J909" s="460"/>
      <c r="K909" s="517"/>
      <c r="L909" s="460"/>
      <c r="M909" s="461"/>
      <c r="N909" s="461"/>
      <c r="O909" s="470"/>
      <c r="P909" s="568" t="str">
        <f>IF(LEFT(B909,5)="09735",
    IF(ISNA(VLOOKUP(Tabla13[[#This Row],[Apoyo]],'LM SAP'!A:G,1,FALSE)),
        "No Disponible",
        IF(VLOOKUP(Tabla13[[#This Row],[Apoyo]],'LM SAP'!A:AD,9,FALSE)="RR",
            "Disponible",
            "Firmas SAP"
        )
    ),
    "CONSULTAR"
)</f>
        <v>CONSULTAR</v>
      </c>
      <c r="Q909" s="460"/>
      <c r="S909" s="460"/>
      <c r="T909" s="465"/>
      <c r="X909" s="466"/>
    </row>
    <row r="910" spans="1:24" s="464" customFormat="1" ht="15" customHeight="1" x14ac:dyDescent="0.25">
      <c r="A910" s="453"/>
      <c r="B910" s="454"/>
      <c r="C910" s="469"/>
      <c r="D910" s="456"/>
      <c r="E910" s="457"/>
      <c r="F910" s="458"/>
      <c r="G910" s="459"/>
      <c r="H910" s="460"/>
      <c r="I910" s="460"/>
      <c r="J910" s="460"/>
      <c r="K910" s="517"/>
      <c r="L910" s="460"/>
      <c r="M910" s="461"/>
      <c r="N910" s="461"/>
      <c r="O910" s="470"/>
      <c r="P910" s="568" t="str">
        <f>IF(LEFT(B910,5)="09735",
    IF(ISNA(VLOOKUP(Tabla13[[#This Row],[Apoyo]],'LM SAP'!A:G,1,FALSE)),
        "No Disponible",
        IF(VLOOKUP(Tabla13[[#This Row],[Apoyo]],'LM SAP'!A:AD,9,FALSE)="RR",
            "Disponible",
            "Firmas SAP"
        )
    ),
    "CONSULTAR"
)</f>
        <v>CONSULTAR</v>
      </c>
      <c r="Q910" s="460"/>
      <c r="S910" s="460"/>
      <c r="T910" s="465"/>
      <c r="X910" s="466"/>
    </row>
    <row r="911" spans="1:24" s="464" customFormat="1" ht="15" customHeight="1" x14ac:dyDescent="0.25">
      <c r="A911" s="453"/>
      <c r="B911" s="454"/>
      <c r="C911" s="469"/>
      <c r="D911" s="456"/>
      <c r="E911" s="457"/>
      <c r="F911" s="458"/>
      <c r="G911" s="459"/>
      <c r="H911" s="460"/>
      <c r="I911" s="460"/>
      <c r="J911" s="460"/>
      <c r="K911" s="517"/>
      <c r="L911" s="460"/>
      <c r="M911" s="461"/>
      <c r="N911" s="461"/>
      <c r="O911" s="470"/>
      <c r="P911" s="568" t="str">
        <f>IF(LEFT(B911,5)="09735",
    IF(ISNA(VLOOKUP(Tabla13[[#This Row],[Apoyo]],'LM SAP'!A:G,1,FALSE)),
        "No Disponible",
        IF(VLOOKUP(Tabla13[[#This Row],[Apoyo]],'LM SAP'!A:AD,9,FALSE)="RR",
            "Disponible",
            "Firmas SAP"
        )
    ),
    "CONSULTAR"
)</f>
        <v>CONSULTAR</v>
      </c>
      <c r="Q911" s="460"/>
      <c r="S911" s="460"/>
      <c r="T911" s="465"/>
      <c r="X911" s="466"/>
    </row>
    <row r="912" spans="1:24" s="464" customFormat="1" ht="15" customHeight="1" x14ac:dyDescent="0.25">
      <c r="A912" s="453"/>
      <c r="B912" s="454"/>
      <c r="C912" s="469"/>
      <c r="D912" s="456"/>
      <c r="E912" s="457"/>
      <c r="F912" s="458"/>
      <c r="G912" s="459"/>
      <c r="H912" s="460"/>
      <c r="I912" s="460"/>
      <c r="J912" s="460"/>
      <c r="K912" s="517"/>
      <c r="L912" s="460"/>
      <c r="M912" s="461"/>
      <c r="N912" s="461"/>
      <c r="O912" s="470"/>
      <c r="P912" s="568" t="str">
        <f>IF(LEFT(B912,5)="09735",
    IF(ISNA(VLOOKUP(Tabla13[[#This Row],[Apoyo]],'LM SAP'!A:G,1,FALSE)),
        "No Disponible",
        IF(VLOOKUP(Tabla13[[#This Row],[Apoyo]],'LM SAP'!A:AD,9,FALSE)="RR",
            "Disponible",
            "Firmas SAP"
        )
    ),
    "CONSULTAR"
)</f>
        <v>CONSULTAR</v>
      </c>
      <c r="Q912" s="460"/>
      <c r="S912" s="460"/>
      <c r="T912" s="465"/>
      <c r="X912" s="466"/>
    </row>
    <row r="913" spans="1:24" s="464" customFormat="1" ht="15" customHeight="1" x14ac:dyDescent="0.25">
      <c r="A913" s="453"/>
      <c r="B913" s="454"/>
      <c r="C913" s="469"/>
      <c r="D913" s="456"/>
      <c r="E913" s="457"/>
      <c r="F913" s="458"/>
      <c r="G913" s="459"/>
      <c r="H913" s="460"/>
      <c r="I913" s="460"/>
      <c r="J913" s="460"/>
      <c r="K913" s="517"/>
      <c r="L913" s="460"/>
      <c r="M913" s="461"/>
      <c r="N913" s="461"/>
      <c r="O913" s="470"/>
      <c r="P913" s="568" t="str">
        <f>IF(LEFT(B913,5)="09735",
    IF(ISNA(VLOOKUP(Tabla13[[#This Row],[Apoyo]],'LM SAP'!A:G,1,FALSE)),
        "No Disponible",
        IF(VLOOKUP(Tabla13[[#This Row],[Apoyo]],'LM SAP'!A:AD,9,FALSE)="RR",
            "Disponible",
            "Firmas SAP"
        )
    ),
    "CONSULTAR"
)</f>
        <v>CONSULTAR</v>
      </c>
      <c r="Q913" s="460"/>
      <c r="S913" s="460"/>
      <c r="T913" s="465"/>
      <c r="X913" s="466"/>
    </row>
    <row r="914" spans="1:24" s="464" customFormat="1" ht="15" customHeight="1" x14ac:dyDescent="0.25">
      <c r="A914" s="453"/>
      <c r="B914" s="454"/>
      <c r="C914" s="469"/>
      <c r="D914" s="456"/>
      <c r="E914" s="457"/>
      <c r="F914" s="458"/>
      <c r="G914" s="459"/>
      <c r="H914" s="460"/>
      <c r="I914" s="460"/>
      <c r="J914" s="460"/>
      <c r="K914" s="517"/>
      <c r="L914" s="460"/>
      <c r="M914" s="461"/>
      <c r="N914" s="461"/>
      <c r="O914" s="470"/>
      <c r="P914" s="568" t="str">
        <f>IF(LEFT(B914,5)="09735",
    IF(ISNA(VLOOKUP(Tabla13[[#This Row],[Apoyo]],'LM SAP'!A:G,1,FALSE)),
        "No Disponible",
        IF(VLOOKUP(Tabla13[[#This Row],[Apoyo]],'LM SAP'!A:AD,9,FALSE)="RR",
            "Disponible",
            "Firmas SAP"
        )
    ),
    "CONSULTAR"
)</f>
        <v>CONSULTAR</v>
      </c>
      <c r="Q914" s="460"/>
      <c r="S914" s="460"/>
      <c r="T914" s="465"/>
      <c r="X914" s="466"/>
    </row>
    <row r="915" spans="1:24" s="464" customFormat="1" ht="15" customHeight="1" x14ac:dyDescent="0.25">
      <c r="A915" s="453"/>
      <c r="B915" s="454"/>
      <c r="C915" s="469"/>
      <c r="D915" s="456"/>
      <c r="E915" s="457"/>
      <c r="F915" s="458"/>
      <c r="G915" s="459"/>
      <c r="H915" s="460"/>
      <c r="I915" s="460"/>
      <c r="J915" s="460"/>
      <c r="K915" s="517"/>
      <c r="L915" s="460"/>
      <c r="M915" s="461"/>
      <c r="N915" s="461"/>
      <c r="O915" s="470"/>
      <c r="P915" s="568" t="str">
        <f>IF(LEFT(B915,5)="09735",
    IF(ISNA(VLOOKUP(Tabla13[[#This Row],[Apoyo]],'LM SAP'!A:G,1,FALSE)),
        "No Disponible",
        IF(VLOOKUP(Tabla13[[#This Row],[Apoyo]],'LM SAP'!A:AD,9,FALSE)="RR",
            "Disponible",
            "Firmas SAP"
        )
    ),
    "CONSULTAR"
)</f>
        <v>CONSULTAR</v>
      </c>
      <c r="Q915" s="460"/>
      <c r="S915" s="460"/>
      <c r="T915" s="465"/>
      <c r="X915" s="466"/>
    </row>
    <row r="916" spans="1:24" s="464" customFormat="1" ht="15" customHeight="1" x14ac:dyDescent="0.25">
      <c r="A916" s="453"/>
      <c r="B916" s="454"/>
      <c r="C916" s="469"/>
      <c r="D916" s="456"/>
      <c r="E916" s="457"/>
      <c r="F916" s="458"/>
      <c r="G916" s="459"/>
      <c r="H916" s="460"/>
      <c r="I916" s="460"/>
      <c r="J916" s="460"/>
      <c r="K916" s="517"/>
      <c r="L916" s="460"/>
      <c r="M916" s="461"/>
      <c r="N916" s="461"/>
      <c r="O916" s="470"/>
      <c r="P916" s="568" t="str">
        <f>IF(LEFT(B916,5)="09735",
    IF(ISNA(VLOOKUP(Tabla13[[#This Row],[Apoyo]],'LM SAP'!A:G,1,FALSE)),
        "No Disponible",
        IF(VLOOKUP(Tabla13[[#This Row],[Apoyo]],'LM SAP'!A:AD,9,FALSE)="RR",
            "Disponible",
            "Firmas SAP"
        )
    ),
    "CONSULTAR"
)</f>
        <v>CONSULTAR</v>
      </c>
      <c r="Q916" s="460"/>
      <c r="S916" s="460"/>
      <c r="T916" s="465"/>
      <c r="X916" s="466"/>
    </row>
    <row r="917" spans="1:24" s="464" customFormat="1" ht="15" customHeight="1" x14ac:dyDescent="0.25">
      <c r="A917" s="453"/>
      <c r="B917" s="454"/>
      <c r="C917" s="469"/>
      <c r="D917" s="456"/>
      <c r="E917" s="457"/>
      <c r="F917" s="458"/>
      <c r="G917" s="459"/>
      <c r="H917" s="460"/>
      <c r="I917" s="460"/>
      <c r="J917" s="460"/>
      <c r="K917" s="517"/>
      <c r="L917" s="460"/>
      <c r="M917" s="461"/>
      <c r="N917" s="461"/>
      <c r="O917" s="470"/>
      <c r="P917" s="568" t="str">
        <f>IF(LEFT(B917,5)="09735",
    IF(ISNA(VLOOKUP(Tabla13[[#This Row],[Apoyo]],'LM SAP'!A:G,1,FALSE)),
        "No Disponible",
        IF(VLOOKUP(Tabla13[[#This Row],[Apoyo]],'LM SAP'!A:AD,9,FALSE)="RR",
            "Disponible",
            "Firmas SAP"
        )
    ),
    "CONSULTAR"
)</f>
        <v>CONSULTAR</v>
      </c>
      <c r="Q917" s="460"/>
      <c r="S917" s="460"/>
      <c r="T917" s="465"/>
      <c r="X917" s="466"/>
    </row>
    <row r="918" spans="1:24" s="464" customFormat="1" ht="15" customHeight="1" x14ac:dyDescent="0.25">
      <c r="A918" s="453"/>
      <c r="B918" s="454"/>
      <c r="C918" s="469"/>
      <c r="D918" s="456"/>
      <c r="E918" s="457"/>
      <c r="F918" s="458"/>
      <c r="G918" s="459"/>
      <c r="H918" s="460"/>
      <c r="I918" s="460"/>
      <c r="J918" s="460"/>
      <c r="K918" s="517"/>
      <c r="L918" s="460"/>
      <c r="M918" s="461"/>
      <c r="N918" s="461"/>
      <c r="O918" s="470"/>
      <c r="P918" s="568" t="str">
        <f>IF(LEFT(B918,5)="09735",
    IF(ISNA(VLOOKUP(Tabla13[[#This Row],[Apoyo]],'LM SAP'!A:G,1,FALSE)),
        "No Disponible",
        IF(VLOOKUP(Tabla13[[#This Row],[Apoyo]],'LM SAP'!A:AD,9,FALSE)="RR",
            "Disponible",
            "Firmas SAP"
        )
    ),
    "CONSULTAR"
)</f>
        <v>CONSULTAR</v>
      </c>
      <c r="Q918" s="460"/>
      <c r="S918" s="460"/>
      <c r="T918" s="465"/>
      <c r="X918" s="466"/>
    </row>
    <row r="919" spans="1:24" s="464" customFormat="1" ht="15" customHeight="1" x14ac:dyDescent="0.25">
      <c r="A919" s="453"/>
      <c r="B919" s="454"/>
      <c r="C919" s="469"/>
      <c r="D919" s="456"/>
      <c r="E919" s="457"/>
      <c r="F919" s="458"/>
      <c r="G919" s="459"/>
      <c r="H919" s="460"/>
      <c r="I919" s="460"/>
      <c r="J919" s="460"/>
      <c r="K919" s="517"/>
      <c r="L919" s="460"/>
      <c r="M919" s="461"/>
      <c r="N919" s="461"/>
      <c r="O919" s="470"/>
      <c r="P919" s="568" t="str">
        <f>IF(LEFT(B919,5)="09735",
    IF(ISNA(VLOOKUP(Tabla13[[#This Row],[Apoyo]],'LM SAP'!A:G,1,FALSE)),
        "No Disponible",
        IF(VLOOKUP(Tabla13[[#This Row],[Apoyo]],'LM SAP'!A:AD,9,FALSE)="RR",
            "Disponible",
            "Firmas SAP"
        )
    ),
    "CONSULTAR"
)</f>
        <v>CONSULTAR</v>
      </c>
      <c r="Q919" s="460"/>
      <c r="S919" s="460"/>
      <c r="T919" s="465"/>
      <c r="X919" s="466"/>
    </row>
    <row r="920" spans="1:24" s="464" customFormat="1" ht="15" customHeight="1" x14ac:dyDescent="0.25">
      <c r="A920" s="453"/>
      <c r="B920" s="454"/>
      <c r="C920" s="469"/>
      <c r="D920" s="456"/>
      <c r="E920" s="457"/>
      <c r="F920" s="458"/>
      <c r="G920" s="459"/>
      <c r="H920" s="460"/>
      <c r="I920" s="460"/>
      <c r="J920" s="460"/>
      <c r="K920" s="517"/>
      <c r="L920" s="460"/>
      <c r="M920" s="461"/>
      <c r="N920" s="461"/>
      <c r="O920" s="470"/>
      <c r="P920" s="568" t="str">
        <f>IF(LEFT(B920,5)="09735",
    IF(ISNA(VLOOKUP(Tabla13[[#This Row],[Apoyo]],'LM SAP'!A:G,1,FALSE)),
        "No Disponible",
        IF(VLOOKUP(Tabla13[[#This Row],[Apoyo]],'LM SAP'!A:AD,9,FALSE)="RR",
            "Disponible",
            "Firmas SAP"
        )
    ),
    "CONSULTAR"
)</f>
        <v>CONSULTAR</v>
      </c>
      <c r="Q920" s="460"/>
      <c r="S920" s="460"/>
      <c r="T920" s="465"/>
      <c r="X920" s="466"/>
    </row>
    <row r="921" spans="1:24" s="464" customFormat="1" ht="15" customHeight="1" x14ac:dyDescent="0.25">
      <c r="A921" s="453"/>
      <c r="B921" s="454"/>
      <c r="C921" s="469"/>
      <c r="D921" s="456"/>
      <c r="E921" s="457"/>
      <c r="F921" s="458"/>
      <c r="G921" s="459"/>
      <c r="H921" s="460"/>
      <c r="I921" s="460"/>
      <c r="J921" s="460"/>
      <c r="K921" s="517"/>
      <c r="L921" s="460"/>
      <c r="M921" s="461"/>
      <c r="N921" s="461"/>
      <c r="O921" s="470"/>
      <c r="P921" s="568" t="str">
        <f>IF(LEFT(B921,5)="09735",
    IF(ISNA(VLOOKUP(Tabla13[[#This Row],[Apoyo]],'LM SAP'!A:G,1,FALSE)),
        "No Disponible",
        IF(VLOOKUP(Tabla13[[#This Row],[Apoyo]],'LM SAP'!A:AD,9,FALSE)="RR",
            "Disponible",
            "Firmas SAP"
        )
    ),
    "CONSULTAR"
)</f>
        <v>CONSULTAR</v>
      </c>
      <c r="Q921" s="460"/>
      <c r="S921" s="460"/>
      <c r="T921" s="465"/>
      <c r="X921" s="466"/>
    </row>
    <row r="922" spans="1:24" s="464" customFormat="1" ht="15" customHeight="1" x14ac:dyDescent="0.25">
      <c r="A922" s="453"/>
      <c r="B922" s="454"/>
      <c r="C922" s="469"/>
      <c r="D922" s="456"/>
      <c r="E922" s="457"/>
      <c r="F922" s="458"/>
      <c r="G922" s="459"/>
      <c r="H922" s="460"/>
      <c r="I922" s="460"/>
      <c r="J922" s="460"/>
      <c r="K922" s="517"/>
      <c r="L922" s="460"/>
      <c r="M922" s="461"/>
      <c r="N922" s="461"/>
      <c r="O922" s="470"/>
      <c r="P922" s="568" t="str">
        <f>IF(LEFT(B922,5)="09735",
    IF(ISNA(VLOOKUP(Tabla13[[#This Row],[Apoyo]],'LM SAP'!A:G,1,FALSE)),
        "No Disponible",
        IF(VLOOKUP(Tabla13[[#This Row],[Apoyo]],'LM SAP'!A:AD,9,FALSE)="RR",
            "Disponible",
            "Firmas SAP"
        )
    ),
    "CONSULTAR"
)</f>
        <v>CONSULTAR</v>
      </c>
      <c r="Q922" s="460"/>
      <c r="S922" s="460"/>
      <c r="T922" s="465"/>
      <c r="X922" s="466"/>
    </row>
    <row r="923" spans="1:24" s="464" customFormat="1" ht="15" customHeight="1" x14ac:dyDescent="0.25">
      <c r="A923" s="453"/>
      <c r="B923" s="454"/>
      <c r="C923" s="469"/>
      <c r="D923" s="456"/>
      <c r="E923" s="457"/>
      <c r="F923" s="458"/>
      <c r="G923" s="459"/>
      <c r="H923" s="460"/>
      <c r="I923" s="460"/>
      <c r="J923" s="460"/>
      <c r="K923" s="517"/>
      <c r="L923" s="460"/>
      <c r="M923" s="461"/>
      <c r="N923" s="461"/>
      <c r="O923" s="470"/>
      <c r="P923" s="568" t="str">
        <f>IF(LEFT(B923,5)="09735",
    IF(ISNA(VLOOKUP(Tabla13[[#This Row],[Apoyo]],'LM SAP'!A:G,1,FALSE)),
        "No Disponible",
        IF(VLOOKUP(Tabla13[[#This Row],[Apoyo]],'LM SAP'!A:AD,9,FALSE)="RR",
            "Disponible",
            "Firmas SAP"
        )
    ),
    "CONSULTAR"
)</f>
        <v>CONSULTAR</v>
      </c>
      <c r="Q923" s="460"/>
      <c r="S923" s="460"/>
      <c r="T923" s="465"/>
      <c r="X923" s="466"/>
    </row>
    <row r="924" spans="1:24" s="464" customFormat="1" ht="15" customHeight="1" x14ac:dyDescent="0.25">
      <c r="A924" s="453"/>
      <c r="B924" s="454"/>
      <c r="C924" s="469"/>
      <c r="D924" s="456"/>
      <c r="E924" s="457"/>
      <c r="F924" s="458"/>
      <c r="G924" s="459"/>
      <c r="H924" s="460"/>
      <c r="I924" s="460"/>
      <c r="J924" s="460"/>
      <c r="K924" s="517"/>
      <c r="L924" s="460"/>
      <c r="M924" s="461"/>
      <c r="N924" s="461"/>
      <c r="O924" s="470"/>
      <c r="P924" s="568" t="str">
        <f>IF(LEFT(B924,5)="09735",
    IF(ISNA(VLOOKUP(Tabla13[[#This Row],[Apoyo]],'LM SAP'!A:G,1,FALSE)),
        "No Disponible",
        IF(VLOOKUP(Tabla13[[#This Row],[Apoyo]],'LM SAP'!A:AD,9,FALSE)="RR",
            "Disponible",
            "Firmas SAP"
        )
    ),
    "CONSULTAR"
)</f>
        <v>CONSULTAR</v>
      </c>
      <c r="Q924" s="460"/>
      <c r="S924" s="460"/>
      <c r="T924" s="465"/>
      <c r="X924" s="466"/>
    </row>
    <row r="925" spans="1:24" s="464" customFormat="1" ht="15" customHeight="1" x14ac:dyDescent="0.25">
      <c r="A925" s="453"/>
      <c r="B925" s="454"/>
      <c r="C925" s="469"/>
      <c r="D925" s="456"/>
      <c r="E925" s="457"/>
      <c r="F925" s="458"/>
      <c r="G925" s="459"/>
      <c r="H925" s="460"/>
      <c r="I925" s="460"/>
      <c r="J925" s="460"/>
      <c r="K925" s="517"/>
      <c r="L925" s="460"/>
      <c r="M925" s="461"/>
      <c r="N925" s="461"/>
      <c r="O925" s="470"/>
      <c r="P925" s="568" t="str">
        <f>IF(LEFT(B925,5)="09735",
    IF(ISNA(VLOOKUP(Tabla13[[#This Row],[Apoyo]],'LM SAP'!A:G,1,FALSE)),
        "No Disponible",
        IF(VLOOKUP(Tabla13[[#This Row],[Apoyo]],'LM SAP'!A:AD,9,FALSE)="RR",
            "Disponible",
            "Firmas SAP"
        )
    ),
    "CONSULTAR"
)</f>
        <v>CONSULTAR</v>
      </c>
      <c r="Q925" s="460"/>
      <c r="S925" s="460"/>
      <c r="T925" s="465"/>
      <c r="X925" s="466"/>
    </row>
    <row r="926" spans="1:24" s="464" customFormat="1" ht="15" customHeight="1" x14ac:dyDescent="0.25">
      <c r="A926" s="453"/>
      <c r="B926" s="454"/>
      <c r="C926" s="469"/>
      <c r="D926" s="456"/>
      <c r="E926" s="457"/>
      <c r="F926" s="458"/>
      <c r="G926" s="459"/>
      <c r="H926" s="460"/>
      <c r="I926" s="460"/>
      <c r="J926" s="460"/>
      <c r="K926" s="517"/>
      <c r="L926" s="460"/>
      <c r="M926" s="461"/>
      <c r="N926" s="461"/>
      <c r="O926" s="470"/>
      <c r="P926" s="568" t="str">
        <f>IF(LEFT(B926,5)="09735",
    IF(ISNA(VLOOKUP(Tabla13[[#This Row],[Apoyo]],'LM SAP'!A:G,1,FALSE)),
        "No Disponible",
        IF(VLOOKUP(Tabla13[[#This Row],[Apoyo]],'LM SAP'!A:AD,9,FALSE)="RR",
            "Disponible",
            "Firmas SAP"
        )
    ),
    "CONSULTAR"
)</f>
        <v>CONSULTAR</v>
      </c>
      <c r="Q926" s="460"/>
      <c r="S926" s="460"/>
      <c r="T926" s="465"/>
      <c r="X926" s="466"/>
    </row>
    <row r="927" spans="1:24" s="464" customFormat="1" ht="15" customHeight="1" x14ac:dyDescent="0.25">
      <c r="A927" s="453"/>
      <c r="B927" s="454"/>
      <c r="C927" s="469"/>
      <c r="D927" s="456"/>
      <c r="E927" s="457"/>
      <c r="F927" s="458"/>
      <c r="G927" s="459"/>
      <c r="H927" s="460"/>
      <c r="I927" s="460"/>
      <c r="J927" s="460"/>
      <c r="K927" s="517"/>
      <c r="L927" s="460"/>
      <c r="M927" s="461"/>
      <c r="N927" s="461"/>
      <c r="O927" s="470"/>
      <c r="P927" s="568" t="str">
        <f>IF(LEFT(B927,5)="09735",
    IF(ISNA(VLOOKUP(Tabla13[[#This Row],[Apoyo]],'LM SAP'!A:G,1,FALSE)),
        "No Disponible",
        IF(VLOOKUP(Tabla13[[#This Row],[Apoyo]],'LM SAP'!A:AD,9,FALSE)="RR",
            "Disponible",
            "Firmas SAP"
        )
    ),
    "CONSULTAR"
)</f>
        <v>CONSULTAR</v>
      </c>
      <c r="Q927" s="460"/>
      <c r="S927" s="460"/>
      <c r="T927" s="465"/>
      <c r="X927" s="466"/>
    </row>
    <row r="928" spans="1:24" s="464" customFormat="1" ht="15" customHeight="1" x14ac:dyDescent="0.25">
      <c r="A928" s="453"/>
      <c r="B928" s="454"/>
      <c r="C928" s="469"/>
      <c r="D928" s="456"/>
      <c r="E928" s="457"/>
      <c r="F928" s="458"/>
      <c r="G928" s="459"/>
      <c r="H928" s="460"/>
      <c r="I928" s="460"/>
      <c r="J928" s="460"/>
      <c r="K928" s="517"/>
      <c r="L928" s="460"/>
      <c r="M928" s="461"/>
      <c r="N928" s="461"/>
      <c r="O928" s="470"/>
      <c r="P928" s="568" t="str">
        <f>IF(LEFT(B928,5)="09735",
    IF(ISNA(VLOOKUP(Tabla13[[#This Row],[Apoyo]],'LM SAP'!A:G,1,FALSE)),
        "No Disponible",
        IF(VLOOKUP(Tabla13[[#This Row],[Apoyo]],'LM SAP'!A:AD,9,FALSE)="RR",
            "Disponible",
            "Firmas SAP"
        )
    ),
    "CONSULTAR"
)</f>
        <v>CONSULTAR</v>
      </c>
      <c r="Q928" s="460"/>
      <c r="S928" s="460"/>
      <c r="T928" s="465"/>
      <c r="X928" s="466"/>
    </row>
    <row r="929" spans="1:24" s="464" customFormat="1" ht="15" customHeight="1" x14ac:dyDescent="0.25">
      <c r="A929" s="453"/>
      <c r="B929" s="454"/>
      <c r="C929" s="469"/>
      <c r="D929" s="456"/>
      <c r="E929" s="457"/>
      <c r="F929" s="458"/>
      <c r="G929" s="459"/>
      <c r="H929" s="460"/>
      <c r="I929" s="460"/>
      <c r="J929" s="460"/>
      <c r="K929" s="517"/>
      <c r="L929" s="460"/>
      <c r="M929" s="461"/>
      <c r="N929" s="461"/>
      <c r="O929" s="470"/>
      <c r="P929" s="568" t="str">
        <f>IF(LEFT(B929,5)="09735",
    IF(ISNA(VLOOKUP(Tabla13[[#This Row],[Apoyo]],'LM SAP'!A:G,1,FALSE)),
        "No Disponible",
        IF(VLOOKUP(Tabla13[[#This Row],[Apoyo]],'LM SAP'!A:AD,9,FALSE)="RR",
            "Disponible",
            "Firmas SAP"
        )
    ),
    "CONSULTAR"
)</f>
        <v>CONSULTAR</v>
      </c>
      <c r="Q929" s="460"/>
      <c r="S929" s="460"/>
      <c r="T929" s="465"/>
      <c r="X929" s="466"/>
    </row>
    <row r="930" spans="1:24" s="464" customFormat="1" ht="15" customHeight="1" x14ac:dyDescent="0.25">
      <c r="A930" s="453"/>
      <c r="B930" s="454"/>
      <c r="C930" s="469"/>
      <c r="D930" s="456"/>
      <c r="E930" s="457"/>
      <c r="F930" s="458"/>
      <c r="G930" s="459"/>
      <c r="H930" s="460"/>
      <c r="I930" s="460"/>
      <c r="J930" s="460"/>
      <c r="K930" s="517"/>
      <c r="L930" s="460"/>
      <c r="M930" s="461"/>
      <c r="N930" s="461"/>
      <c r="O930" s="470"/>
      <c r="P930" s="568" t="str">
        <f>IF(LEFT(B930,5)="09735",
    IF(ISNA(VLOOKUP(Tabla13[[#This Row],[Apoyo]],'LM SAP'!A:G,1,FALSE)),
        "No Disponible",
        IF(VLOOKUP(Tabla13[[#This Row],[Apoyo]],'LM SAP'!A:AD,9,FALSE)="RR",
            "Disponible",
            "Firmas SAP"
        )
    ),
    "CONSULTAR"
)</f>
        <v>CONSULTAR</v>
      </c>
      <c r="Q930" s="460"/>
      <c r="S930" s="460"/>
      <c r="T930" s="465"/>
      <c r="X930" s="466"/>
    </row>
    <row r="931" spans="1:24" s="464" customFormat="1" ht="15" customHeight="1" x14ac:dyDescent="0.25">
      <c r="A931" s="453"/>
      <c r="B931" s="454"/>
      <c r="C931" s="469"/>
      <c r="D931" s="456"/>
      <c r="E931" s="457"/>
      <c r="F931" s="458"/>
      <c r="G931" s="459"/>
      <c r="H931" s="460"/>
      <c r="I931" s="460"/>
      <c r="J931" s="460"/>
      <c r="K931" s="517"/>
      <c r="L931" s="460"/>
      <c r="M931" s="461"/>
      <c r="N931" s="461"/>
      <c r="O931" s="470"/>
      <c r="P931" s="568" t="str">
        <f>IF(LEFT(B931,5)="09735",
    IF(ISNA(VLOOKUP(Tabla13[[#This Row],[Apoyo]],'LM SAP'!A:G,1,FALSE)),
        "No Disponible",
        IF(VLOOKUP(Tabla13[[#This Row],[Apoyo]],'LM SAP'!A:AD,9,FALSE)="RR",
            "Disponible",
            "Firmas SAP"
        )
    ),
    "CONSULTAR"
)</f>
        <v>CONSULTAR</v>
      </c>
      <c r="Q931" s="460"/>
      <c r="S931" s="460"/>
      <c r="T931" s="465"/>
      <c r="X931" s="466"/>
    </row>
    <row r="932" spans="1:24" s="464" customFormat="1" ht="15" customHeight="1" x14ac:dyDescent="0.25">
      <c r="A932" s="453"/>
      <c r="B932" s="454"/>
      <c r="C932" s="469"/>
      <c r="D932" s="456"/>
      <c r="E932" s="457"/>
      <c r="F932" s="458"/>
      <c r="G932" s="459"/>
      <c r="H932" s="460"/>
      <c r="I932" s="460"/>
      <c r="J932" s="460"/>
      <c r="K932" s="517"/>
      <c r="L932" s="460"/>
      <c r="M932" s="461"/>
      <c r="N932" s="461"/>
      <c r="O932" s="470"/>
      <c r="P932" s="568" t="str">
        <f>IF(LEFT(B932,5)="09735",
    IF(ISNA(VLOOKUP(Tabla13[[#This Row],[Apoyo]],'LM SAP'!A:G,1,FALSE)),
        "No Disponible",
        IF(VLOOKUP(Tabla13[[#This Row],[Apoyo]],'LM SAP'!A:AD,9,FALSE)="RR",
            "Disponible",
            "Firmas SAP"
        )
    ),
    "CONSULTAR"
)</f>
        <v>CONSULTAR</v>
      </c>
      <c r="Q932" s="460"/>
      <c r="S932" s="460"/>
      <c r="T932" s="465"/>
      <c r="X932" s="466"/>
    </row>
    <row r="933" spans="1:24" s="464" customFormat="1" ht="15" customHeight="1" x14ac:dyDescent="0.25">
      <c r="A933" s="453"/>
      <c r="B933" s="454"/>
      <c r="C933" s="469"/>
      <c r="D933" s="456"/>
      <c r="E933" s="457"/>
      <c r="F933" s="458"/>
      <c r="G933" s="459"/>
      <c r="H933" s="460"/>
      <c r="I933" s="460"/>
      <c r="J933" s="460"/>
      <c r="K933" s="517"/>
      <c r="L933" s="460"/>
      <c r="M933" s="461"/>
      <c r="N933" s="461"/>
      <c r="O933" s="470"/>
      <c r="P933" s="568" t="str">
        <f>IF(LEFT(B933,5)="09735",
    IF(ISNA(VLOOKUP(Tabla13[[#This Row],[Apoyo]],'LM SAP'!A:G,1,FALSE)),
        "No Disponible",
        IF(VLOOKUP(Tabla13[[#This Row],[Apoyo]],'LM SAP'!A:AD,9,FALSE)="RR",
            "Disponible",
            "Firmas SAP"
        )
    ),
    "CONSULTAR"
)</f>
        <v>CONSULTAR</v>
      </c>
      <c r="Q933" s="460"/>
      <c r="S933" s="460"/>
      <c r="T933" s="465"/>
      <c r="X933" s="466"/>
    </row>
    <row r="934" spans="1:24" s="464" customFormat="1" ht="15" customHeight="1" x14ac:dyDescent="0.25">
      <c r="A934" s="453"/>
      <c r="B934" s="454"/>
      <c r="C934" s="469"/>
      <c r="D934" s="456"/>
      <c r="E934" s="457"/>
      <c r="F934" s="458"/>
      <c r="G934" s="459"/>
      <c r="H934" s="460"/>
      <c r="I934" s="460"/>
      <c r="J934" s="460"/>
      <c r="K934" s="517"/>
      <c r="L934" s="460"/>
      <c r="M934" s="461"/>
      <c r="N934" s="461"/>
      <c r="O934" s="470"/>
      <c r="P934" s="568" t="str">
        <f>IF(LEFT(B934,5)="09735",
    IF(ISNA(VLOOKUP(Tabla13[[#This Row],[Apoyo]],'LM SAP'!A:G,1,FALSE)),
        "No Disponible",
        IF(VLOOKUP(Tabla13[[#This Row],[Apoyo]],'LM SAP'!A:AD,9,FALSE)="RR",
            "Disponible",
            "Firmas SAP"
        )
    ),
    "CONSULTAR"
)</f>
        <v>CONSULTAR</v>
      </c>
      <c r="Q934" s="460"/>
      <c r="S934" s="460"/>
      <c r="T934" s="465"/>
      <c r="X934" s="466"/>
    </row>
    <row r="935" spans="1:24" s="464" customFormat="1" ht="15" customHeight="1" x14ac:dyDescent="0.25">
      <c r="A935" s="453"/>
      <c r="B935" s="454"/>
      <c r="C935" s="469"/>
      <c r="D935" s="456"/>
      <c r="E935" s="457"/>
      <c r="F935" s="458"/>
      <c r="G935" s="459"/>
      <c r="H935" s="460"/>
      <c r="I935" s="460"/>
      <c r="J935" s="460"/>
      <c r="K935" s="517"/>
      <c r="L935" s="460"/>
      <c r="M935" s="461"/>
      <c r="N935" s="461"/>
      <c r="O935" s="470"/>
      <c r="P935" s="568" t="str">
        <f>IF(LEFT(B935,5)="09735",
    IF(ISNA(VLOOKUP(Tabla13[[#This Row],[Apoyo]],'LM SAP'!A:G,1,FALSE)),
        "No Disponible",
        IF(VLOOKUP(Tabla13[[#This Row],[Apoyo]],'LM SAP'!A:AD,9,FALSE)="RR",
            "Disponible",
            "Firmas SAP"
        )
    ),
    "CONSULTAR"
)</f>
        <v>CONSULTAR</v>
      </c>
      <c r="Q935" s="460"/>
      <c r="S935" s="460"/>
      <c r="T935" s="465"/>
      <c r="X935" s="466"/>
    </row>
    <row r="936" spans="1:24" s="464" customFormat="1" ht="15" customHeight="1" x14ac:dyDescent="0.25">
      <c r="A936" s="453"/>
      <c r="B936" s="454"/>
      <c r="C936" s="469"/>
      <c r="D936" s="456"/>
      <c r="E936" s="457"/>
      <c r="F936" s="458"/>
      <c r="G936" s="459"/>
      <c r="H936" s="460"/>
      <c r="I936" s="460"/>
      <c r="J936" s="460"/>
      <c r="K936" s="517"/>
      <c r="L936" s="460"/>
      <c r="M936" s="461"/>
      <c r="N936" s="461"/>
      <c r="O936" s="470"/>
      <c r="P936" s="568" t="str">
        <f>IF(LEFT(B936,5)="09735",
    IF(ISNA(VLOOKUP(Tabla13[[#This Row],[Apoyo]],'LM SAP'!A:G,1,FALSE)),
        "No Disponible",
        IF(VLOOKUP(Tabla13[[#This Row],[Apoyo]],'LM SAP'!A:AD,9,FALSE)="RR",
            "Disponible",
            "Firmas SAP"
        )
    ),
    "CONSULTAR"
)</f>
        <v>CONSULTAR</v>
      </c>
      <c r="Q936" s="460"/>
      <c r="S936" s="460"/>
      <c r="T936" s="465"/>
      <c r="X936" s="466"/>
    </row>
    <row r="937" spans="1:24" s="464" customFormat="1" ht="15" customHeight="1" x14ac:dyDescent="0.25">
      <c r="A937" s="453"/>
      <c r="B937" s="454"/>
      <c r="C937" s="469"/>
      <c r="D937" s="456"/>
      <c r="E937" s="457"/>
      <c r="F937" s="458"/>
      <c r="G937" s="459"/>
      <c r="H937" s="460"/>
      <c r="I937" s="460"/>
      <c r="J937" s="460"/>
      <c r="K937" s="517"/>
      <c r="L937" s="460"/>
      <c r="M937" s="461"/>
      <c r="N937" s="461"/>
      <c r="O937" s="470"/>
      <c r="P937" s="568" t="str">
        <f>IF(LEFT(B937,5)="09735",
    IF(ISNA(VLOOKUP(Tabla13[[#This Row],[Apoyo]],'LM SAP'!A:G,1,FALSE)),
        "No Disponible",
        IF(VLOOKUP(Tabla13[[#This Row],[Apoyo]],'LM SAP'!A:AD,9,FALSE)="RR",
            "Disponible",
            "Firmas SAP"
        )
    ),
    "CONSULTAR"
)</f>
        <v>CONSULTAR</v>
      </c>
      <c r="Q937" s="460"/>
      <c r="S937" s="460"/>
      <c r="T937" s="465"/>
      <c r="X937" s="466"/>
    </row>
    <row r="938" spans="1:24" s="464" customFormat="1" ht="15" customHeight="1" x14ac:dyDescent="0.25">
      <c r="A938" s="453"/>
      <c r="B938" s="454"/>
      <c r="C938" s="469"/>
      <c r="D938" s="456"/>
      <c r="E938" s="457"/>
      <c r="F938" s="458"/>
      <c r="G938" s="459"/>
      <c r="H938" s="460"/>
      <c r="I938" s="460"/>
      <c r="J938" s="460"/>
      <c r="K938" s="517"/>
      <c r="L938" s="460"/>
      <c r="M938" s="461"/>
      <c r="N938" s="461"/>
      <c r="O938" s="470"/>
      <c r="P938" s="568" t="str">
        <f>IF(LEFT(B938,5)="09735",
    IF(ISNA(VLOOKUP(Tabla13[[#This Row],[Apoyo]],'LM SAP'!A:G,1,FALSE)),
        "No Disponible",
        IF(VLOOKUP(Tabla13[[#This Row],[Apoyo]],'LM SAP'!A:AD,9,FALSE)="RR",
            "Disponible",
            "Firmas SAP"
        )
    ),
    "CONSULTAR"
)</f>
        <v>CONSULTAR</v>
      </c>
      <c r="Q938" s="460"/>
      <c r="S938" s="460"/>
      <c r="T938" s="465"/>
      <c r="X938" s="466"/>
    </row>
    <row r="939" spans="1:24" s="464" customFormat="1" ht="15" customHeight="1" x14ac:dyDescent="0.25">
      <c r="A939" s="453"/>
      <c r="B939" s="454"/>
      <c r="C939" s="469"/>
      <c r="D939" s="456"/>
      <c r="E939" s="457"/>
      <c r="F939" s="458"/>
      <c r="G939" s="459"/>
      <c r="H939" s="460"/>
      <c r="I939" s="460"/>
      <c r="J939" s="460"/>
      <c r="K939" s="517"/>
      <c r="L939" s="460"/>
      <c r="M939" s="461"/>
      <c r="N939" s="461"/>
      <c r="O939" s="470"/>
      <c r="P939" s="568" t="str">
        <f>IF(LEFT(B939,5)="09735",
    IF(ISNA(VLOOKUP(Tabla13[[#This Row],[Apoyo]],'LM SAP'!A:G,1,FALSE)),
        "No Disponible",
        IF(VLOOKUP(Tabla13[[#This Row],[Apoyo]],'LM SAP'!A:AD,9,FALSE)="RR",
            "Disponible",
            "Firmas SAP"
        )
    ),
    "CONSULTAR"
)</f>
        <v>CONSULTAR</v>
      </c>
      <c r="Q939" s="460"/>
      <c r="S939" s="460"/>
      <c r="T939" s="465"/>
      <c r="X939" s="466"/>
    </row>
    <row r="940" spans="1:24" s="464" customFormat="1" ht="15" customHeight="1" x14ac:dyDescent="0.25">
      <c r="A940" s="453"/>
      <c r="B940" s="454"/>
      <c r="C940" s="469"/>
      <c r="D940" s="456"/>
      <c r="E940" s="457"/>
      <c r="F940" s="458"/>
      <c r="G940" s="459"/>
      <c r="H940" s="460"/>
      <c r="I940" s="460"/>
      <c r="J940" s="460"/>
      <c r="K940" s="517"/>
      <c r="L940" s="460"/>
      <c r="M940" s="461"/>
      <c r="N940" s="461"/>
      <c r="O940" s="470"/>
      <c r="P940" s="568" t="str">
        <f>IF(LEFT(B940,5)="09735",
    IF(ISNA(VLOOKUP(Tabla13[[#This Row],[Apoyo]],'LM SAP'!A:G,1,FALSE)),
        "No Disponible",
        IF(VLOOKUP(Tabla13[[#This Row],[Apoyo]],'LM SAP'!A:AD,9,FALSE)="RR",
            "Disponible",
            "Firmas SAP"
        )
    ),
    "CONSULTAR"
)</f>
        <v>CONSULTAR</v>
      </c>
      <c r="Q940" s="460"/>
      <c r="S940" s="460"/>
      <c r="T940" s="465"/>
      <c r="X940" s="466"/>
    </row>
    <row r="941" spans="1:24" s="464" customFormat="1" ht="15" customHeight="1" x14ac:dyDescent="0.25">
      <c r="A941" s="453"/>
      <c r="B941" s="454"/>
      <c r="C941" s="469"/>
      <c r="D941" s="456"/>
      <c r="E941" s="457"/>
      <c r="F941" s="458"/>
      <c r="G941" s="459"/>
      <c r="H941" s="460"/>
      <c r="I941" s="460"/>
      <c r="J941" s="460"/>
      <c r="K941" s="517"/>
      <c r="L941" s="460"/>
      <c r="M941" s="461"/>
      <c r="N941" s="461"/>
      <c r="O941" s="470"/>
      <c r="P941" s="568" t="str">
        <f>IF(LEFT(B941,5)="09735",
    IF(ISNA(VLOOKUP(Tabla13[[#This Row],[Apoyo]],'LM SAP'!A:G,1,FALSE)),
        "No Disponible",
        IF(VLOOKUP(Tabla13[[#This Row],[Apoyo]],'LM SAP'!A:AD,9,FALSE)="RR",
            "Disponible",
            "Firmas SAP"
        )
    ),
    "CONSULTAR"
)</f>
        <v>CONSULTAR</v>
      </c>
      <c r="Q941" s="460"/>
      <c r="S941" s="460"/>
      <c r="T941" s="465"/>
      <c r="X941" s="466"/>
    </row>
    <row r="942" spans="1:24" s="464" customFormat="1" ht="15" customHeight="1" x14ac:dyDescent="0.25">
      <c r="A942" s="453"/>
      <c r="B942" s="454"/>
      <c r="C942" s="469"/>
      <c r="D942" s="456"/>
      <c r="E942" s="457"/>
      <c r="F942" s="458"/>
      <c r="G942" s="459"/>
      <c r="H942" s="460"/>
      <c r="I942" s="460"/>
      <c r="J942" s="460"/>
      <c r="K942" s="517"/>
      <c r="L942" s="460"/>
      <c r="M942" s="461"/>
      <c r="N942" s="461"/>
      <c r="O942" s="470"/>
      <c r="P942" s="568" t="str">
        <f>IF(LEFT(B942,5)="09735",
    IF(ISNA(VLOOKUP(Tabla13[[#This Row],[Apoyo]],'LM SAP'!A:G,1,FALSE)),
        "No Disponible",
        IF(VLOOKUP(Tabla13[[#This Row],[Apoyo]],'LM SAP'!A:AD,9,FALSE)="RR",
            "Disponible",
            "Firmas SAP"
        )
    ),
    "CONSULTAR"
)</f>
        <v>CONSULTAR</v>
      </c>
      <c r="Q942" s="460"/>
      <c r="S942" s="460"/>
      <c r="T942" s="465"/>
      <c r="X942" s="466"/>
    </row>
    <row r="943" spans="1:24" s="464" customFormat="1" ht="15" customHeight="1" x14ac:dyDescent="0.25">
      <c r="A943" s="453"/>
      <c r="B943" s="454"/>
      <c r="C943" s="469"/>
      <c r="D943" s="456"/>
      <c r="E943" s="457"/>
      <c r="F943" s="458"/>
      <c r="G943" s="459"/>
      <c r="H943" s="460"/>
      <c r="I943" s="460"/>
      <c r="J943" s="460"/>
      <c r="K943" s="517"/>
      <c r="L943" s="460"/>
      <c r="M943" s="461"/>
      <c r="N943" s="461"/>
      <c r="O943" s="470"/>
      <c r="P943" s="568" t="str">
        <f>IF(LEFT(B943,5)="09735",
    IF(ISNA(VLOOKUP(Tabla13[[#This Row],[Apoyo]],'LM SAP'!A:G,1,FALSE)),
        "No Disponible",
        IF(VLOOKUP(Tabla13[[#This Row],[Apoyo]],'LM SAP'!A:AD,9,FALSE)="RR",
            "Disponible",
            "Firmas SAP"
        )
    ),
    "CONSULTAR"
)</f>
        <v>CONSULTAR</v>
      </c>
      <c r="Q943" s="460"/>
      <c r="S943" s="460"/>
      <c r="T943" s="465"/>
      <c r="X943" s="466"/>
    </row>
    <row r="944" spans="1:24" s="464" customFormat="1" ht="15" customHeight="1" x14ac:dyDescent="0.25">
      <c r="A944" s="453"/>
      <c r="B944" s="454"/>
      <c r="C944" s="469"/>
      <c r="D944" s="456"/>
      <c r="E944" s="457"/>
      <c r="F944" s="458"/>
      <c r="G944" s="459"/>
      <c r="H944" s="460"/>
      <c r="I944" s="460"/>
      <c r="J944" s="460"/>
      <c r="K944" s="517"/>
      <c r="L944" s="460"/>
      <c r="M944" s="461"/>
      <c r="N944" s="461"/>
      <c r="O944" s="470"/>
      <c r="P944" s="568" t="str">
        <f>IF(LEFT(B944,5)="09735",
    IF(ISNA(VLOOKUP(Tabla13[[#This Row],[Apoyo]],'LM SAP'!A:G,1,FALSE)),
        "No Disponible",
        IF(VLOOKUP(Tabla13[[#This Row],[Apoyo]],'LM SAP'!A:AD,9,FALSE)="RR",
            "Disponible",
            "Firmas SAP"
        )
    ),
    "CONSULTAR"
)</f>
        <v>CONSULTAR</v>
      </c>
      <c r="Q944" s="460"/>
      <c r="S944" s="460"/>
      <c r="T944" s="465"/>
      <c r="X944" s="466"/>
    </row>
    <row r="945" spans="1:24" s="464" customFormat="1" ht="15" customHeight="1" x14ac:dyDescent="0.25">
      <c r="A945" s="453"/>
      <c r="B945" s="454"/>
      <c r="C945" s="469"/>
      <c r="D945" s="456"/>
      <c r="E945" s="457"/>
      <c r="F945" s="458"/>
      <c r="G945" s="459"/>
      <c r="H945" s="460"/>
      <c r="I945" s="460"/>
      <c r="J945" s="460"/>
      <c r="K945" s="517"/>
      <c r="L945" s="460"/>
      <c r="M945" s="461"/>
      <c r="N945" s="461"/>
      <c r="O945" s="470"/>
      <c r="P945" s="568" t="str">
        <f>IF(LEFT(B945,5)="09735",
    IF(ISNA(VLOOKUP(Tabla13[[#This Row],[Apoyo]],'LM SAP'!A:G,1,FALSE)),
        "No Disponible",
        IF(VLOOKUP(Tabla13[[#This Row],[Apoyo]],'LM SAP'!A:AD,9,FALSE)="RR",
            "Disponible",
            "Firmas SAP"
        )
    ),
    "CONSULTAR"
)</f>
        <v>CONSULTAR</v>
      </c>
      <c r="Q945" s="460"/>
      <c r="S945" s="460"/>
      <c r="T945" s="465"/>
      <c r="X945" s="466"/>
    </row>
    <row r="946" spans="1:24" s="464" customFormat="1" ht="15" customHeight="1" x14ac:dyDescent="0.25">
      <c r="A946" s="453"/>
      <c r="B946" s="454"/>
      <c r="C946" s="469"/>
      <c r="D946" s="456"/>
      <c r="E946" s="457"/>
      <c r="F946" s="458"/>
      <c r="G946" s="459"/>
      <c r="H946" s="460"/>
      <c r="I946" s="460"/>
      <c r="J946" s="460"/>
      <c r="K946" s="517"/>
      <c r="L946" s="460"/>
      <c r="M946" s="461"/>
      <c r="N946" s="461"/>
      <c r="O946" s="470"/>
      <c r="P946" s="568" t="str">
        <f>IF(LEFT(B946,5)="09735",
    IF(ISNA(VLOOKUP(Tabla13[[#This Row],[Apoyo]],'LM SAP'!A:G,1,FALSE)),
        "No Disponible",
        IF(VLOOKUP(Tabla13[[#This Row],[Apoyo]],'LM SAP'!A:AD,9,FALSE)="RR",
            "Disponible",
            "Firmas SAP"
        )
    ),
    "CONSULTAR"
)</f>
        <v>CONSULTAR</v>
      </c>
      <c r="Q946" s="460"/>
      <c r="S946" s="460"/>
      <c r="T946" s="465"/>
      <c r="X946" s="466"/>
    </row>
    <row r="947" spans="1:24" s="464" customFormat="1" ht="15" customHeight="1" x14ac:dyDescent="0.25">
      <c r="A947" s="453"/>
      <c r="B947" s="454"/>
      <c r="C947" s="469"/>
      <c r="D947" s="456"/>
      <c r="E947" s="457"/>
      <c r="F947" s="458"/>
      <c r="G947" s="459"/>
      <c r="H947" s="460"/>
      <c r="I947" s="460"/>
      <c r="J947" s="460"/>
      <c r="K947" s="517"/>
      <c r="L947" s="460"/>
      <c r="M947" s="461"/>
      <c r="N947" s="461"/>
      <c r="O947" s="470"/>
      <c r="P947" s="568" t="str">
        <f>IF(LEFT(B947,5)="09735",
    IF(ISNA(VLOOKUP(Tabla13[[#This Row],[Apoyo]],'LM SAP'!A:G,1,FALSE)),
        "No Disponible",
        IF(VLOOKUP(Tabla13[[#This Row],[Apoyo]],'LM SAP'!A:AD,9,FALSE)="RR",
            "Disponible",
            "Firmas SAP"
        )
    ),
    "CONSULTAR"
)</f>
        <v>CONSULTAR</v>
      </c>
      <c r="Q947" s="460"/>
      <c r="S947" s="460"/>
      <c r="T947" s="465"/>
      <c r="X947" s="466"/>
    </row>
    <row r="948" spans="1:24" s="464" customFormat="1" ht="15" customHeight="1" x14ac:dyDescent="0.25">
      <c r="A948" s="453"/>
      <c r="B948" s="454"/>
      <c r="C948" s="469"/>
      <c r="D948" s="456"/>
      <c r="E948" s="457"/>
      <c r="F948" s="458"/>
      <c r="G948" s="459"/>
      <c r="H948" s="460"/>
      <c r="I948" s="460"/>
      <c r="J948" s="460"/>
      <c r="K948" s="517"/>
      <c r="L948" s="460"/>
      <c r="M948" s="461"/>
      <c r="N948" s="461"/>
      <c r="O948" s="470"/>
      <c r="P948" s="568" t="str">
        <f>IF(LEFT(B948,5)="09735",
    IF(ISNA(VLOOKUP(Tabla13[[#This Row],[Apoyo]],'LM SAP'!A:G,1,FALSE)),
        "No Disponible",
        IF(VLOOKUP(Tabla13[[#This Row],[Apoyo]],'LM SAP'!A:AD,9,FALSE)="RR",
            "Disponible",
            "Firmas SAP"
        )
    ),
    "CONSULTAR"
)</f>
        <v>CONSULTAR</v>
      </c>
      <c r="Q948" s="460"/>
      <c r="S948" s="460"/>
      <c r="T948" s="465"/>
      <c r="X948" s="466"/>
    </row>
    <row r="949" spans="1:24" s="464" customFormat="1" ht="15" customHeight="1" x14ac:dyDescent="0.25">
      <c r="A949" s="453"/>
      <c r="B949" s="454"/>
      <c r="C949" s="469"/>
      <c r="D949" s="456"/>
      <c r="E949" s="457"/>
      <c r="F949" s="458"/>
      <c r="G949" s="459"/>
      <c r="H949" s="460"/>
      <c r="I949" s="460"/>
      <c r="J949" s="460"/>
      <c r="K949" s="517"/>
      <c r="L949" s="460"/>
      <c r="M949" s="461"/>
      <c r="N949" s="461"/>
      <c r="O949" s="470"/>
      <c r="P949" s="568" t="str">
        <f>IF(LEFT(B949,5)="09735",
    IF(ISNA(VLOOKUP(Tabla13[[#This Row],[Apoyo]],'LM SAP'!A:G,1,FALSE)),
        "No Disponible",
        IF(VLOOKUP(Tabla13[[#This Row],[Apoyo]],'LM SAP'!A:AD,9,FALSE)="RR",
            "Disponible",
            "Firmas SAP"
        )
    ),
    "CONSULTAR"
)</f>
        <v>CONSULTAR</v>
      </c>
      <c r="Q949" s="460"/>
      <c r="S949" s="460"/>
      <c r="T949" s="465"/>
      <c r="X949" s="466"/>
    </row>
    <row r="950" spans="1:24" s="464" customFormat="1" ht="15" customHeight="1" x14ac:dyDescent="0.25">
      <c r="A950" s="453"/>
      <c r="B950" s="454"/>
      <c r="C950" s="469"/>
      <c r="D950" s="456"/>
      <c r="E950" s="457"/>
      <c r="F950" s="458"/>
      <c r="G950" s="459"/>
      <c r="H950" s="460"/>
      <c r="I950" s="460"/>
      <c r="J950" s="460"/>
      <c r="K950" s="517"/>
      <c r="L950" s="460"/>
      <c r="M950" s="461"/>
      <c r="N950" s="461"/>
      <c r="O950" s="470"/>
      <c r="P950" s="568" t="str">
        <f>IF(LEFT(B950,5)="09735",
    IF(ISNA(VLOOKUP(Tabla13[[#This Row],[Apoyo]],'LM SAP'!A:G,1,FALSE)),
        "No Disponible",
        IF(VLOOKUP(Tabla13[[#This Row],[Apoyo]],'LM SAP'!A:AD,9,FALSE)="RR",
            "Disponible",
            "Firmas SAP"
        )
    ),
    "CONSULTAR"
)</f>
        <v>CONSULTAR</v>
      </c>
      <c r="Q950" s="460"/>
      <c r="S950" s="460"/>
      <c r="T950" s="465"/>
      <c r="X950" s="466"/>
    </row>
    <row r="951" spans="1:24" s="464" customFormat="1" ht="15" customHeight="1" x14ac:dyDescent="0.25">
      <c r="A951" s="453"/>
      <c r="B951" s="454"/>
      <c r="C951" s="469"/>
      <c r="D951" s="456"/>
      <c r="E951" s="457"/>
      <c r="F951" s="458"/>
      <c r="G951" s="459"/>
      <c r="H951" s="460"/>
      <c r="I951" s="460"/>
      <c r="J951" s="460"/>
      <c r="K951" s="517"/>
      <c r="L951" s="460"/>
      <c r="M951" s="461"/>
      <c r="N951" s="461"/>
      <c r="O951" s="470"/>
      <c r="P951" s="568" t="str">
        <f>IF(LEFT(B951,5)="09735",
    IF(ISNA(VLOOKUP(Tabla13[[#This Row],[Apoyo]],'LM SAP'!A:G,1,FALSE)),
        "No Disponible",
        IF(VLOOKUP(Tabla13[[#This Row],[Apoyo]],'LM SAP'!A:AD,9,FALSE)="RR",
            "Disponible",
            "Firmas SAP"
        )
    ),
    "CONSULTAR"
)</f>
        <v>CONSULTAR</v>
      </c>
      <c r="Q951" s="460"/>
      <c r="S951" s="460"/>
      <c r="T951" s="465"/>
      <c r="X951" s="466"/>
    </row>
    <row r="952" spans="1:24" s="464" customFormat="1" ht="15" customHeight="1" x14ac:dyDescent="0.25">
      <c r="A952" s="453"/>
      <c r="B952" s="454"/>
      <c r="C952" s="469"/>
      <c r="D952" s="456"/>
      <c r="E952" s="457"/>
      <c r="F952" s="458"/>
      <c r="G952" s="459"/>
      <c r="H952" s="460"/>
      <c r="I952" s="460"/>
      <c r="J952" s="460"/>
      <c r="K952" s="517"/>
      <c r="L952" s="460"/>
      <c r="M952" s="461"/>
      <c r="N952" s="461"/>
      <c r="O952" s="470"/>
      <c r="P952" s="568" t="str">
        <f>IF(LEFT(B952,5)="09735",
    IF(ISNA(VLOOKUP(Tabla13[[#This Row],[Apoyo]],'LM SAP'!A:G,1,FALSE)),
        "No Disponible",
        IF(VLOOKUP(Tabla13[[#This Row],[Apoyo]],'LM SAP'!A:AD,9,FALSE)="RR",
            "Disponible",
            "Firmas SAP"
        )
    ),
    "CONSULTAR"
)</f>
        <v>CONSULTAR</v>
      </c>
      <c r="Q952" s="460"/>
      <c r="S952" s="460"/>
      <c r="T952" s="465"/>
      <c r="X952" s="466"/>
    </row>
    <row r="953" spans="1:24" s="464" customFormat="1" ht="15" customHeight="1" x14ac:dyDescent="0.25">
      <c r="A953" s="453"/>
      <c r="B953" s="454"/>
      <c r="C953" s="469"/>
      <c r="D953" s="456"/>
      <c r="E953" s="457"/>
      <c r="F953" s="458"/>
      <c r="G953" s="459"/>
      <c r="H953" s="460"/>
      <c r="I953" s="460"/>
      <c r="J953" s="460"/>
      <c r="K953" s="517"/>
      <c r="L953" s="460"/>
      <c r="M953" s="461"/>
      <c r="N953" s="461"/>
      <c r="O953" s="470"/>
      <c r="P953" s="568" t="str">
        <f>IF(LEFT(B953,5)="09735",
    IF(ISNA(VLOOKUP(Tabla13[[#This Row],[Apoyo]],'LM SAP'!A:G,1,FALSE)),
        "No Disponible",
        IF(VLOOKUP(Tabla13[[#This Row],[Apoyo]],'LM SAP'!A:AD,9,FALSE)="RR",
            "Disponible",
            "Firmas SAP"
        )
    ),
    "CONSULTAR"
)</f>
        <v>CONSULTAR</v>
      </c>
      <c r="Q953" s="460"/>
      <c r="S953" s="460"/>
      <c r="T953" s="465"/>
      <c r="X953" s="466"/>
    </row>
    <row r="954" spans="1:24" s="464" customFormat="1" ht="15" customHeight="1" x14ac:dyDescent="0.25">
      <c r="A954" s="453"/>
      <c r="B954" s="454"/>
      <c r="C954" s="469"/>
      <c r="D954" s="456"/>
      <c r="E954" s="457"/>
      <c r="F954" s="458"/>
      <c r="G954" s="459"/>
      <c r="H954" s="460"/>
      <c r="I954" s="460"/>
      <c r="J954" s="460"/>
      <c r="K954" s="517"/>
      <c r="L954" s="460"/>
      <c r="M954" s="461"/>
      <c r="N954" s="461"/>
      <c r="O954" s="470"/>
      <c r="P954" s="568" t="str">
        <f>IF(LEFT(B954,5)="09735",
    IF(ISNA(VLOOKUP(Tabla13[[#This Row],[Apoyo]],'LM SAP'!A:G,1,FALSE)),
        "No Disponible",
        IF(VLOOKUP(Tabla13[[#This Row],[Apoyo]],'LM SAP'!A:AD,9,FALSE)="RR",
            "Disponible",
            "Firmas SAP"
        )
    ),
    "CONSULTAR"
)</f>
        <v>CONSULTAR</v>
      </c>
      <c r="Q954" s="460"/>
      <c r="S954" s="460"/>
      <c r="T954" s="465"/>
      <c r="X954" s="466"/>
    </row>
    <row r="955" spans="1:24" s="464" customFormat="1" ht="15" customHeight="1" x14ac:dyDescent="0.25">
      <c r="A955" s="453"/>
      <c r="B955" s="454"/>
      <c r="C955" s="469"/>
      <c r="D955" s="456"/>
      <c r="E955" s="457"/>
      <c r="F955" s="458"/>
      <c r="G955" s="459"/>
      <c r="H955" s="460"/>
      <c r="I955" s="460"/>
      <c r="J955" s="460"/>
      <c r="K955" s="517"/>
      <c r="L955" s="460"/>
      <c r="M955" s="461"/>
      <c r="N955" s="461"/>
      <c r="O955" s="470"/>
      <c r="P955" s="568" t="str">
        <f>IF(LEFT(B955,5)="09735",
    IF(ISNA(VLOOKUP(Tabla13[[#This Row],[Apoyo]],'LM SAP'!A:G,1,FALSE)),
        "No Disponible",
        IF(VLOOKUP(Tabla13[[#This Row],[Apoyo]],'LM SAP'!A:AD,9,FALSE)="RR",
            "Disponible",
            "Firmas SAP"
        )
    ),
    "CONSULTAR"
)</f>
        <v>CONSULTAR</v>
      </c>
      <c r="Q955" s="460"/>
      <c r="S955" s="460"/>
      <c r="T955" s="465"/>
      <c r="X955" s="466"/>
    </row>
    <row r="956" spans="1:24" s="464" customFormat="1" ht="15" customHeight="1" x14ac:dyDescent="0.25">
      <c r="A956" s="453"/>
      <c r="B956" s="454"/>
      <c r="C956" s="469"/>
      <c r="D956" s="456"/>
      <c r="E956" s="457"/>
      <c r="F956" s="458"/>
      <c r="G956" s="459"/>
      <c r="H956" s="460"/>
      <c r="I956" s="460"/>
      <c r="J956" s="460"/>
      <c r="K956" s="517"/>
      <c r="L956" s="460"/>
      <c r="M956" s="461"/>
      <c r="N956" s="461"/>
      <c r="O956" s="470"/>
      <c r="P956" s="568" t="str">
        <f>IF(LEFT(B956,5)="09735",
    IF(ISNA(VLOOKUP(Tabla13[[#This Row],[Apoyo]],'LM SAP'!A:G,1,FALSE)),
        "No Disponible",
        IF(VLOOKUP(Tabla13[[#This Row],[Apoyo]],'LM SAP'!A:AD,9,FALSE)="RR",
            "Disponible",
            "Firmas SAP"
        )
    ),
    "CONSULTAR"
)</f>
        <v>CONSULTAR</v>
      </c>
      <c r="Q956" s="460"/>
      <c r="S956" s="460"/>
      <c r="T956" s="465"/>
      <c r="X956" s="466"/>
    </row>
    <row r="957" spans="1:24" s="464" customFormat="1" ht="15" customHeight="1" x14ac:dyDescent="0.25">
      <c r="A957" s="453"/>
      <c r="B957" s="454"/>
      <c r="C957" s="469"/>
      <c r="D957" s="456"/>
      <c r="E957" s="457"/>
      <c r="F957" s="458"/>
      <c r="G957" s="459"/>
      <c r="H957" s="460"/>
      <c r="I957" s="460"/>
      <c r="J957" s="460"/>
      <c r="K957" s="517"/>
      <c r="L957" s="460"/>
      <c r="M957" s="461"/>
      <c r="N957" s="461"/>
      <c r="O957" s="470"/>
      <c r="P957" s="568" t="str">
        <f>IF(LEFT(B957,5)="09735",
    IF(ISNA(VLOOKUP(Tabla13[[#This Row],[Apoyo]],'LM SAP'!A:G,1,FALSE)),
        "No Disponible",
        IF(VLOOKUP(Tabla13[[#This Row],[Apoyo]],'LM SAP'!A:AD,9,FALSE)="RR",
            "Disponible",
            "Firmas SAP"
        )
    ),
    "CONSULTAR"
)</f>
        <v>CONSULTAR</v>
      </c>
      <c r="Q957" s="460"/>
      <c r="S957" s="460"/>
      <c r="T957" s="465"/>
      <c r="X957" s="466"/>
    </row>
    <row r="958" spans="1:24" s="464" customFormat="1" ht="15" customHeight="1" x14ac:dyDescent="0.25">
      <c r="A958" s="453"/>
      <c r="B958" s="454"/>
      <c r="C958" s="469"/>
      <c r="D958" s="456"/>
      <c r="E958" s="457"/>
      <c r="F958" s="458"/>
      <c r="G958" s="459"/>
      <c r="H958" s="460"/>
      <c r="I958" s="460"/>
      <c r="J958" s="460"/>
      <c r="K958" s="517"/>
      <c r="L958" s="460"/>
      <c r="M958" s="461"/>
      <c r="N958" s="461"/>
      <c r="O958" s="470"/>
      <c r="P958" s="568" t="str">
        <f>IF(LEFT(B958,5)="09735",
    IF(ISNA(VLOOKUP(Tabla13[[#This Row],[Apoyo]],'LM SAP'!A:G,1,FALSE)),
        "No Disponible",
        IF(VLOOKUP(Tabla13[[#This Row],[Apoyo]],'LM SAP'!A:AD,9,FALSE)="RR",
            "Disponible",
            "Firmas SAP"
        )
    ),
    "CONSULTAR"
)</f>
        <v>CONSULTAR</v>
      </c>
      <c r="Q958" s="460"/>
      <c r="S958" s="460"/>
      <c r="T958" s="465"/>
      <c r="X958" s="466"/>
    </row>
    <row r="959" spans="1:24" s="464" customFormat="1" ht="15" customHeight="1" x14ac:dyDescent="0.25">
      <c r="A959" s="453"/>
      <c r="B959" s="454"/>
      <c r="C959" s="469"/>
      <c r="D959" s="456"/>
      <c r="E959" s="457"/>
      <c r="F959" s="458"/>
      <c r="G959" s="459"/>
      <c r="H959" s="460"/>
      <c r="I959" s="460"/>
      <c r="J959" s="460"/>
      <c r="K959" s="517"/>
      <c r="L959" s="460"/>
      <c r="M959" s="461"/>
      <c r="N959" s="461"/>
      <c r="O959" s="470"/>
      <c r="P959" s="568" t="str">
        <f>IF(LEFT(B959,5)="09735",
    IF(ISNA(VLOOKUP(Tabla13[[#This Row],[Apoyo]],'LM SAP'!A:G,1,FALSE)),
        "No Disponible",
        IF(VLOOKUP(Tabla13[[#This Row],[Apoyo]],'LM SAP'!A:AD,9,FALSE)="RR",
            "Disponible",
            "Firmas SAP"
        )
    ),
    "CONSULTAR"
)</f>
        <v>CONSULTAR</v>
      </c>
      <c r="Q959" s="460"/>
      <c r="S959" s="460"/>
      <c r="T959" s="465"/>
      <c r="X959" s="466"/>
    </row>
    <row r="960" spans="1:24" s="464" customFormat="1" ht="15" customHeight="1" x14ac:dyDescent="0.25">
      <c r="A960" s="453"/>
      <c r="B960" s="454"/>
      <c r="C960" s="469"/>
      <c r="D960" s="456"/>
      <c r="E960" s="457"/>
      <c r="F960" s="458"/>
      <c r="G960" s="459"/>
      <c r="H960" s="460"/>
      <c r="I960" s="460"/>
      <c r="J960" s="460"/>
      <c r="K960" s="517"/>
      <c r="L960" s="460"/>
      <c r="M960" s="461"/>
      <c r="N960" s="461"/>
      <c r="O960" s="470"/>
      <c r="P960" s="568" t="str">
        <f>IF(LEFT(B960,5)="09735",
    IF(ISNA(VLOOKUP(Tabla13[[#This Row],[Apoyo]],'LM SAP'!A:G,1,FALSE)),
        "No Disponible",
        IF(VLOOKUP(Tabla13[[#This Row],[Apoyo]],'LM SAP'!A:AD,9,FALSE)="RR",
            "Disponible",
            "Firmas SAP"
        )
    ),
    "CONSULTAR"
)</f>
        <v>CONSULTAR</v>
      </c>
      <c r="Q960" s="460"/>
      <c r="S960" s="460"/>
      <c r="T960" s="465"/>
      <c r="X960" s="466"/>
    </row>
    <row r="961" spans="1:24" s="464" customFormat="1" ht="15" customHeight="1" x14ac:dyDescent="0.25">
      <c r="A961" s="453"/>
      <c r="B961" s="454"/>
      <c r="C961" s="469"/>
      <c r="D961" s="456"/>
      <c r="E961" s="457"/>
      <c r="F961" s="458"/>
      <c r="G961" s="459"/>
      <c r="H961" s="460"/>
      <c r="I961" s="460"/>
      <c r="J961" s="460"/>
      <c r="K961" s="517"/>
      <c r="L961" s="460"/>
      <c r="M961" s="461"/>
      <c r="N961" s="461"/>
      <c r="O961" s="470"/>
      <c r="P961" s="568" t="str">
        <f>IF(LEFT(B961,5)="09735",
    IF(ISNA(VLOOKUP(Tabla13[[#This Row],[Apoyo]],'LM SAP'!A:G,1,FALSE)),
        "No Disponible",
        IF(VLOOKUP(Tabla13[[#This Row],[Apoyo]],'LM SAP'!A:AD,9,FALSE)="RR",
            "Disponible",
            "Firmas SAP"
        )
    ),
    "CONSULTAR"
)</f>
        <v>CONSULTAR</v>
      </c>
      <c r="Q961" s="460"/>
      <c r="S961" s="460"/>
      <c r="T961" s="465"/>
      <c r="X961" s="466"/>
    </row>
    <row r="962" spans="1:24" s="464" customFormat="1" ht="15" customHeight="1" x14ac:dyDescent="0.25">
      <c r="A962" s="453"/>
      <c r="B962" s="454"/>
      <c r="C962" s="469"/>
      <c r="D962" s="456"/>
      <c r="E962" s="457"/>
      <c r="F962" s="458"/>
      <c r="G962" s="459"/>
      <c r="H962" s="460"/>
      <c r="I962" s="460"/>
      <c r="J962" s="460"/>
      <c r="K962" s="517"/>
      <c r="L962" s="460"/>
      <c r="M962" s="461"/>
      <c r="N962" s="461"/>
      <c r="O962" s="470"/>
      <c r="P962" s="568" t="str">
        <f>IF(LEFT(B962,5)="09735",
    IF(ISNA(VLOOKUP(Tabla13[[#This Row],[Apoyo]],'LM SAP'!A:G,1,FALSE)),
        "No Disponible",
        IF(VLOOKUP(Tabla13[[#This Row],[Apoyo]],'LM SAP'!A:AD,9,FALSE)="RR",
            "Disponible",
            "Firmas SAP"
        )
    ),
    "CONSULTAR"
)</f>
        <v>CONSULTAR</v>
      </c>
      <c r="Q962" s="460"/>
      <c r="S962" s="460"/>
      <c r="T962" s="465"/>
      <c r="X962" s="466"/>
    </row>
    <row r="963" spans="1:24" s="464" customFormat="1" ht="15" customHeight="1" x14ac:dyDescent="0.25">
      <c r="A963" s="453"/>
      <c r="B963" s="454"/>
      <c r="C963" s="469"/>
      <c r="D963" s="456"/>
      <c r="E963" s="457"/>
      <c r="F963" s="458"/>
      <c r="G963" s="459"/>
      <c r="H963" s="460"/>
      <c r="I963" s="460"/>
      <c r="J963" s="460"/>
      <c r="K963" s="517"/>
      <c r="L963" s="460"/>
      <c r="M963" s="461"/>
      <c r="N963" s="461"/>
      <c r="O963" s="470"/>
      <c r="P963" s="568" t="str">
        <f>IF(LEFT(B963,5)="09735",
    IF(ISNA(VLOOKUP(Tabla13[[#This Row],[Apoyo]],'LM SAP'!A:G,1,FALSE)),
        "No Disponible",
        IF(VLOOKUP(Tabla13[[#This Row],[Apoyo]],'LM SAP'!A:AD,9,FALSE)="RR",
            "Disponible",
            "Firmas SAP"
        )
    ),
    "CONSULTAR"
)</f>
        <v>CONSULTAR</v>
      </c>
      <c r="Q963" s="460"/>
      <c r="S963" s="460"/>
      <c r="T963" s="465"/>
      <c r="X963" s="466"/>
    </row>
    <row r="964" spans="1:24" s="464" customFormat="1" ht="15" customHeight="1" x14ac:dyDescent="0.25">
      <c r="A964" s="453"/>
      <c r="B964" s="454"/>
      <c r="C964" s="469"/>
      <c r="D964" s="456"/>
      <c r="E964" s="457"/>
      <c r="F964" s="458"/>
      <c r="G964" s="459"/>
      <c r="H964" s="460"/>
      <c r="I964" s="460"/>
      <c r="J964" s="460"/>
      <c r="K964" s="517"/>
      <c r="L964" s="460"/>
      <c r="M964" s="461"/>
      <c r="N964" s="461"/>
      <c r="O964" s="470"/>
      <c r="P964" s="568" t="str">
        <f>IF(LEFT(B964,5)="09735",
    IF(ISNA(VLOOKUP(Tabla13[[#This Row],[Apoyo]],'LM SAP'!A:G,1,FALSE)),
        "No Disponible",
        IF(VLOOKUP(Tabla13[[#This Row],[Apoyo]],'LM SAP'!A:AD,9,FALSE)="RR",
            "Disponible",
            "Firmas SAP"
        )
    ),
    "CONSULTAR"
)</f>
        <v>CONSULTAR</v>
      </c>
      <c r="Q964" s="460"/>
      <c r="S964" s="460"/>
      <c r="T964" s="465"/>
      <c r="X964" s="466"/>
    </row>
    <row r="965" spans="1:24" s="464" customFormat="1" ht="15" customHeight="1" x14ac:dyDescent="0.25">
      <c r="A965" s="453"/>
      <c r="B965" s="454"/>
      <c r="C965" s="469"/>
      <c r="D965" s="456"/>
      <c r="E965" s="457"/>
      <c r="F965" s="458"/>
      <c r="G965" s="459"/>
      <c r="H965" s="460"/>
      <c r="I965" s="460"/>
      <c r="J965" s="460"/>
      <c r="K965" s="517"/>
      <c r="L965" s="460"/>
      <c r="M965" s="461"/>
      <c r="N965" s="461"/>
      <c r="O965" s="470"/>
      <c r="P965" s="568" t="str">
        <f>IF(LEFT(B965,5)="09735",
    IF(ISNA(VLOOKUP(Tabla13[[#This Row],[Apoyo]],'LM SAP'!A:G,1,FALSE)),
        "No Disponible",
        IF(VLOOKUP(Tabla13[[#This Row],[Apoyo]],'LM SAP'!A:AD,9,FALSE)="RR",
            "Disponible",
            "Firmas SAP"
        )
    ),
    "CONSULTAR"
)</f>
        <v>CONSULTAR</v>
      </c>
      <c r="Q965" s="460"/>
      <c r="S965" s="460"/>
      <c r="T965" s="465"/>
      <c r="X965" s="466"/>
    </row>
    <row r="966" spans="1:24" s="464" customFormat="1" ht="15" customHeight="1" x14ac:dyDescent="0.25">
      <c r="A966" s="453"/>
      <c r="B966" s="454"/>
      <c r="C966" s="469"/>
      <c r="D966" s="456"/>
      <c r="E966" s="457"/>
      <c r="F966" s="458"/>
      <c r="G966" s="459"/>
      <c r="H966" s="460"/>
      <c r="I966" s="460"/>
      <c r="J966" s="460"/>
      <c r="K966" s="517"/>
      <c r="L966" s="460"/>
      <c r="M966" s="461"/>
      <c r="N966" s="461"/>
      <c r="O966" s="470"/>
      <c r="P966" s="568" t="str">
        <f>IF(LEFT(B966,5)="09735",
    IF(ISNA(VLOOKUP(Tabla13[[#This Row],[Apoyo]],'LM SAP'!A:G,1,FALSE)),
        "No Disponible",
        IF(VLOOKUP(Tabla13[[#This Row],[Apoyo]],'LM SAP'!A:AD,9,FALSE)="RR",
            "Disponible",
            "Firmas SAP"
        )
    ),
    "CONSULTAR"
)</f>
        <v>CONSULTAR</v>
      </c>
      <c r="Q966" s="460"/>
      <c r="S966" s="460"/>
      <c r="T966" s="465"/>
      <c r="X966" s="466"/>
    </row>
    <row r="967" spans="1:24" s="464" customFormat="1" ht="15" customHeight="1" x14ac:dyDescent="0.25">
      <c r="A967" s="453"/>
      <c r="B967" s="454"/>
      <c r="C967" s="469"/>
      <c r="D967" s="456"/>
      <c r="E967" s="457"/>
      <c r="F967" s="458"/>
      <c r="G967" s="459"/>
      <c r="H967" s="460"/>
      <c r="I967" s="460"/>
      <c r="J967" s="460"/>
      <c r="K967" s="517"/>
      <c r="L967" s="460"/>
      <c r="M967" s="461"/>
      <c r="N967" s="461"/>
      <c r="O967" s="470"/>
      <c r="P967" s="568" t="str">
        <f>IF(LEFT(B967,5)="09735",
    IF(ISNA(VLOOKUP(Tabla13[[#This Row],[Apoyo]],'LM SAP'!A:G,1,FALSE)),
        "No Disponible",
        IF(VLOOKUP(Tabla13[[#This Row],[Apoyo]],'LM SAP'!A:AD,9,FALSE)="RR",
            "Disponible",
            "Firmas SAP"
        )
    ),
    "CONSULTAR"
)</f>
        <v>CONSULTAR</v>
      </c>
      <c r="Q967" s="460"/>
      <c r="S967" s="460"/>
      <c r="T967" s="465"/>
      <c r="X967" s="466"/>
    </row>
    <row r="968" spans="1:24" s="464" customFormat="1" ht="15" customHeight="1" x14ac:dyDescent="0.25">
      <c r="A968" s="453"/>
      <c r="B968" s="454"/>
      <c r="C968" s="469"/>
      <c r="D968" s="456"/>
      <c r="E968" s="457"/>
      <c r="F968" s="458"/>
      <c r="G968" s="459"/>
      <c r="H968" s="460"/>
      <c r="I968" s="460"/>
      <c r="J968" s="460"/>
      <c r="K968" s="517"/>
      <c r="L968" s="460"/>
      <c r="M968" s="461"/>
      <c r="N968" s="461"/>
      <c r="O968" s="470"/>
      <c r="P968" s="568" t="str">
        <f>IF(LEFT(B968,5)="09735",
    IF(ISNA(VLOOKUP(Tabla13[[#This Row],[Apoyo]],'LM SAP'!A:G,1,FALSE)),
        "No Disponible",
        IF(VLOOKUP(Tabla13[[#This Row],[Apoyo]],'LM SAP'!A:AD,9,FALSE)="RR",
            "Disponible",
            "Firmas SAP"
        )
    ),
    "CONSULTAR"
)</f>
        <v>CONSULTAR</v>
      </c>
      <c r="Q968" s="460"/>
      <c r="S968" s="460"/>
      <c r="T968" s="465"/>
      <c r="X968" s="466"/>
    </row>
    <row r="969" spans="1:24" s="464" customFormat="1" ht="15" customHeight="1" x14ac:dyDescent="0.25">
      <c r="A969" s="453"/>
      <c r="B969" s="454"/>
      <c r="C969" s="469"/>
      <c r="D969" s="456"/>
      <c r="E969" s="457"/>
      <c r="F969" s="458"/>
      <c r="G969" s="459"/>
      <c r="H969" s="460"/>
      <c r="I969" s="460"/>
      <c r="J969" s="460"/>
      <c r="K969" s="517"/>
      <c r="L969" s="460"/>
      <c r="M969" s="461"/>
      <c r="N969" s="461"/>
      <c r="O969" s="470"/>
      <c r="P969" s="568" t="str">
        <f>IF(LEFT(B969,5)="09735",
    IF(ISNA(VLOOKUP(Tabla13[[#This Row],[Apoyo]],'LM SAP'!A:G,1,FALSE)),
        "No Disponible",
        IF(VLOOKUP(Tabla13[[#This Row],[Apoyo]],'LM SAP'!A:AD,9,FALSE)="RR",
            "Disponible",
            "Firmas SAP"
        )
    ),
    "CONSULTAR"
)</f>
        <v>CONSULTAR</v>
      </c>
      <c r="Q969" s="460"/>
      <c r="S969" s="460"/>
      <c r="T969" s="465"/>
      <c r="X969" s="466"/>
    </row>
    <row r="970" spans="1:24" s="464" customFormat="1" ht="15" customHeight="1" x14ac:dyDescent="0.25">
      <c r="A970" s="453"/>
      <c r="B970" s="454"/>
      <c r="C970" s="469"/>
      <c r="D970" s="456"/>
      <c r="E970" s="457"/>
      <c r="F970" s="458"/>
      <c r="G970" s="459"/>
      <c r="H970" s="460"/>
      <c r="I970" s="460"/>
      <c r="J970" s="460"/>
      <c r="K970" s="517"/>
      <c r="L970" s="460"/>
      <c r="M970" s="461"/>
      <c r="N970" s="461"/>
      <c r="O970" s="470"/>
      <c r="P970" s="568" t="str">
        <f>IF(LEFT(B970,5)="09735",
    IF(ISNA(VLOOKUP(Tabla13[[#This Row],[Apoyo]],'LM SAP'!A:G,1,FALSE)),
        "No Disponible",
        IF(VLOOKUP(Tabla13[[#This Row],[Apoyo]],'LM SAP'!A:AD,9,FALSE)="RR",
            "Disponible",
            "Firmas SAP"
        )
    ),
    "CONSULTAR"
)</f>
        <v>CONSULTAR</v>
      </c>
      <c r="Q970" s="460"/>
      <c r="S970" s="460"/>
      <c r="T970" s="465"/>
      <c r="X970" s="466"/>
    </row>
    <row r="971" spans="1:24" s="464" customFormat="1" ht="15" customHeight="1" x14ac:dyDescent="0.25">
      <c r="A971" s="453"/>
      <c r="B971" s="454"/>
      <c r="C971" s="469"/>
      <c r="D971" s="456"/>
      <c r="E971" s="457"/>
      <c r="F971" s="458"/>
      <c r="G971" s="459"/>
      <c r="H971" s="460"/>
      <c r="I971" s="460"/>
      <c r="J971" s="460"/>
      <c r="K971" s="517"/>
      <c r="L971" s="460"/>
      <c r="M971" s="461"/>
      <c r="N971" s="461"/>
      <c r="O971" s="470"/>
      <c r="P971" s="568" t="str">
        <f>IF(LEFT(B971,5)="09735",
    IF(ISNA(VLOOKUP(Tabla13[[#This Row],[Apoyo]],'LM SAP'!A:G,1,FALSE)),
        "No Disponible",
        IF(VLOOKUP(Tabla13[[#This Row],[Apoyo]],'LM SAP'!A:AD,9,FALSE)="RR",
            "Disponible",
            "Firmas SAP"
        )
    ),
    "CONSULTAR"
)</f>
        <v>CONSULTAR</v>
      </c>
      <c r="Q971" s="460"/>
      <c r="S971" s="460"/>
      <c r="T971" s="465"/>
      <c r="X971" s="466"/>
    </row>
    <row r="972" spans="1:24" s="464" customFormat="1" ht="15" customHeight="1" x14ac:dyDescent="0.25">
      <c r="A972" s="453"/>
      <c r="B972" s="454"/>
      <c r="C972" s="469"/>
      <c r="D972" s="456"/>
      <c r="E972" s="457"/>
      <c r="F972" s="458"/>
      <c r="G972" s="459"/>
      <c r="H972" s="460"/>
      <c r="I972" s="460"/>
      <c r="J972" s="460"/>
      <c r="K972" s="517"/>
      <c r="L972" s="460"/>
      <c r="M972" s="461"/>
      <c r="N972" s="461"/>
      <c r="O972" s="470"/>
      <c r="P972" s="568" t="str">
        <f>IF(LEFT(B972,5)="09735",
    IF(ISNA(VLOOKUP(Tabla13[[#This Row],[Apoyo]],'LM SAP'!A:G,1,FALSE)),
        "No Disponible",
        IF(VLOOKUP(Tabla13[[#This Row],[Apoyo]],'LM SAP'!A:AD,9,FALSE)="RR",
            "Disponible",
            "Firmas SAP"
        )
    ),
    "CONSULTAR"
)</f>
        <v>CONSULTAR</v>
      </c>
      <c r="Q972" s="460"/>
      <c r="S972" s="460"/>
      <c r="T972" s="465"/>
      <c r="X972" s="466"/>
    </row>
    <row r="973" spans="1:24" s="464" customFormat="1" ht="15" customHeight="1" x14ac:dyDescent="0.25">
      <c r="A973" s="453"/>
      <c r="B973" s="454"/>
      <c r="C973" s="469"/>
      <c r="D973" s="456"/>
      <c r="E973" s="457"/>
      <c r="F973" s="458"/>
      <c r="G973" s="459"/>
      <c r="H973" s="460"/>
      <c r="I973" s="460"/>
      <c r="J973" s="460"/>
      <c r="K973" s="517"/>
      <c r="L973" s="460"/>
      <c r="M973" s="461"/>
      <c r="N973" s="461"/>
      <c r="O973" s="470"/>
      <c r="P973" s="568" t="str">
        <f>IF(LEFT(B973,5)="09735",
    IF(ISNA(VLOOKUP(Tabla13[[#This Row],[Apoyo]],'LM SAP'!A:G,1,FALSE)),
        "No Disponible",
        IF(VLOOKUP(Tabla13[[#This Row],[Apoyo]],'LM SAP'!A:AD,9,FALSE)="RR",
            "Disponible",
            "Firmas SAP"
        )
    ),
    "CONSULTAR"
)</f>
        <v>CONSULTAR</v>
      </c>
      <c r="Q973" s="460"/>
      <c r="S973" s="460"/>
      <c r="T973" s="465"/>
      <c r="X973" s="466"/>
    </row>
    <row r="974" spans="1:24" s="464" customFormat="1" ht="15" customHeight="1" x14ac:dyDescent="0.25">
      <c r="A974" s="453"/>
      <c r="B974" s="454"/>
      <c r="C974" s="469"/>
      <c r="D974" s="456"/>
      <c r="E974" s="457"/>
      <c r="F974" s="458"/>
      <c r="G974" s="459"/>
      <c r="H974" s="460"/>
      <c r="I974" s="460"/>
      <c r="J974" s="460"/>
      <c r="K974" s="517"/>
      <c r="L974" s="460"/>
      <c r="M974" s="461"/>
      <c r="N974" s="461"/>
      <c r="O974" s="470"/>
      <c r="P974" s="568" t="str">
        <f>IF(LEFT(B974,5)="09735",
    IF(ISNA(VLOOKUP(Tabla13[[#This Row],[Apoyo]],'LM SAP'!A:G,1,FALSE)),
        "No Disponible",
        IF(VLOOKUP(Tabla13[[#This Row],[Apoyo]],'LM SAP'!A:AD,9,FALSE)="RR",
            "Disponible",
            "Firmas SAP"
        )
    ),
    "CONSULTAR"
)</f>
        <v>CONSULTAR</v>
      </c>
      <c r="Q974" s="460"/>
      <c r="S974" s="460"/>
      <c r="T974" s="465"/>
      <c r="X974" s="466"/>
    </row>
    <row r="975" spans="1:24" s="464" customFormat="1" ht="15" customHeight="1" x14ac:dyDescent="0.25">
      <c r="A975" s="453"/>
      <c r="B975" s="454"/>
      <c r="C975" s="469"/>
      <c r="D975" s="456"/>
      <c r="E975" s="457"/>
      <c r="F975" s="458"/>
      <c r="G975" s="459"/>
      <c r="H975" s="460"/>
      <c r="I975" s="460"/>
      <c r="J975" s="460"/>
      <c r="K975" s="517"/>
      <c r="L975" s="460"/>
      <c r="M975" s="461"/>
      <c r="N975" s="461"/>
      <c r="O975" s="470"/>
      <c r="P975" s="568" t="str">
        <f>IF(LEFT(B975,5)="09735",
    IF(ISNA(VLOOKUP(Tabla13[[#This Row],[Apoyo]],'LM SAP'!A:G,1,FALSE)),
        "No Disponible",
        IF(VLOOKUP(Tabla13[[#This Row],[Apoyo]],'LM SAP'!A:AD,9,FALSE)="RR",
            "Disponible",
            "Firmas SAP"
        )
    ),
    "CONSULTAR"
)</f>
        <v>CONSULTAR</v>
      </c>
      <c r="Q975" s="460"/>
      <c r="S975" s="460"/>
      <c r="T975" s="465"/>
      <c r="X975" s="466"/>
    </row>
    <row r="976" spans="1:24" s="464" customFormat="1" ht="15" customHeight="1" x14ac:dyDescent="0.25">
      <c r="A976" s="453"/>
      <c r="B976" s="454"/>
      <c r="C976" s="469"/>
      <c r="D976" s="456"/>
      <c r="E976" s="457"/>
      <c r="F976" s="458"/>
      <c r="G976" s="459"/>
      <c r="H976" s="460"/>
      <c r="I976" s="460"/>
      <c r="J976" s="460"/>
      <c r="K976" s="517"/>
      <c r="L976" s="460"/>
      <c r="M976" s="461"/>
      <c r="N976" s="461"/>
      <c r="O976" s="470"/>
      <c r="P976" s="568" t="str">
        <f>IF(LEFT(B976,5)="09735",
    IF(ISNA(VLOOKUP(Tabla13[[#This Row],[Apoyo]],'LM SAP'!A:G,1,FALSE)),
        "No Disponible",
        IF(VLOOKUP(Tabla13[[#This Row],[Apoyo]],'LM SAP'!A:AD,9,FALSE)="RR",
            "Disponible",
            "Firmas SAP"
        )
    ),
    "CONSULTAR"
)</f>
        <v>CONSULTAR</v>
      </c>
      <c r="Q976" s="460"/>
      <c r="S976" s="460"/>
      <c r="T976" s="465"/>
      <c r="X976" s="466"/>
    </row>
    <row r="977" spans="1:24" s="464" customFormat="1" ht="15" customHeight="1" x14ac:dyDescent="0.25">
      <c r="A977" s="453"/>
      <c r="B977" s="454"/>
      <c r="C977" s="469"/>
      <c r="D977" s="456"/>
      <c r="E977" s="457"/>
      <c r="F977" s="458"/>
      <c r="G977" s="459"/>
      <c r="H977" s="460"/>
      <c r="I977" s="460"/>
      <c r="J977" s="460"/>
      <c r="K977" s="517"/>
      <c r="L977" s="460"/>
      <c r="M977" s="461"/>
      <c r="N977" s="461"/>
      <c r="O977" s="470"/>
      <c r="P977" s="568" t="str">
        <f>IF(LEFT(B977,5)="09735",
    IF(ISNA(VLOOKUP(Tabla13[[#This Row],[Apoyo]],'LM SAP'!A:G,1,FALSE)),
        "No Disponible",
        IF(VLOOKUP(Tabla13[[#This Row],[Apoyo]],'LM SAP'!A:AD,9,FALSE)="RR",
            "Disponible",
            "Firmas SAP"
        )
    ),
    "CONSULTAR"
)</f>
        <v>CONSULTAR</v>
      </c>
      <c r="Q977" s="460"/>
      <c r="S977" s="460"/>
      <c r="T977" s="465"/>
      <c r="X977" s="466"/>
    </row>
    <row r="978" spans="1:24" s="464" customFormat="1" ht="15" customHeight="1" x14ac:dyDescent="0.25">
      <c r="A978" s="453"/>
      <c r="B978" s="454"/>
      <c r="C978" s="469"/>
      <c r="D978" s="456"/>
      <c r="E978" s="457"/>
      <c r="F978" s="458"/>
      <c r="G978" s="459"/>
      <c r="H978" s="460"/>
      <c r="I978" s="460"/>
      <c r="J978" s="460"/>
      <c r="K978" s="517"/>
      <c r="L978" s="460"/>
      <c r="M978" s="461"/>
      <c r="N978" s="461"/>
      <c r="O978" s="470"/>
      <c r="P978" s="568" t="str">
        <f>IF(LEFT(B978,5)="09735",
    IF(ISNA(VLOOKUP(Tabla13[[#This Row],[Apoyo]],'LM SAP'!A:G,1,FALSE)),
        "No Disponible",
        IF(VLOOKUP(Tabla13[[#This Row],[Apoyo]],'LM SAP'!A:AD,9,FALSE)="RR",
            "Disponible",
            "Firmas SAP"
        )
    ),
    "CONSULTAR"
)</f>
        <v>CONSULTAR</v>
      </c>
      <c r="Q978" s="460"/>
      <c r="S978" s="460"/>
      <c r="T978" s="465"/>
      <c r="X978" s="466"/>
    </row>
    <row r="979" spans="1:24" s="464" customFormat="1" ht="15" customHeight="1" x14ac:dyDescent="0.25">
      <c r="A979" s="453"/>
      <c r="B979" s="454"/>
      <c r="C979" s="469"/>
      <c r="D979" s="456"/>
      <c r="E979" s="457"/>
      <c r="F979" s="458"/>
      <c r="G979" s="459"/>
      <c r="H979" s="460"/>
      <c r="I979" s="460"/>
      <c r="J979" s="460"/>
      <c r="K979" s="517"/>
      <c r="L979" s="460"/>
      <c r="M979" s="461"/>
      <c r="N979" s="461"/>
      <c r="O979" s="470"/>
      <c r="P979" s="568" t="str">
        <f>IF(LEFT(B979,5)="09735",
    IF(ISNA(VLOOKUP(Tabla13[[#This Row],[Apoyo]],'LM SAP'!A:G,1,FALSE)),
        "No Disponible",
        IF(VLOOKUP(Tabla13[[#This Row],[Apoyo]],'LM SAP'!A:AD,9,FALSE)="RR",
            "Disponible",
            "Firmas SAP"
        )
    ),
    "CONSULTAR"
)</f>
        <v>CONSULTAR</v>
      </c>
      <c r="Q979" s="460"/>
      <c r="S979" s="460"/>
      <c r="T979" s="465"/>
      <c r="X979" s="466"/>
    </row>
    <row r="980" spans="1:24" s="464" customFormat="1" ht="15" customHeight="1" x14ac:dyDescent="0.25">
      <c r="A980" s="453"/>
      <c r="B980" s="454"/>
      <c r="C980" s="469"/>
      <c r="D980" s="456"/>
      <c r="E980" s="457"/>
      <c r="F980" s="458"/>
      <c r="G980" s="459"/>
      <c r="H980" s="460"/>
      <c r="I980" s="460"/>
      <c r="J980" s="460"/>
      <c r="K980" s="517"/>
      <c r="L980" s="460"/>
      <c r="M980" s="461"/>
      <c r="N980" s="461"/>
      <c r="O980" s="470"/>
      <c r="P980" s="568" t="str">
        <f>IF(LEFT(B980,5)="09735",
    IF(ISNA(VLOOKUP(Tabla13[[#This Row],[Apoyo]],'LM SAP'!A:G,1,FALSE)),
        "No Disponible",
        IF(VLOOKUP(Tabla13[[#This Row],[Apoyo]],'LM SAP'!A:AD,9,FALSE)="RR",
            "Disponible",
            "Firmas SAP"
        )
    ),
    "CONSULTAR"
)</f>
        <v>CONSULTAR</v>
      </c>
      <c r="Q980" s="460"/>
      <c r="S980" s="460"/>
      <c r="T980" s="465"/>
      <c r="X980" s="466"/>
    </row>
    <row r="981" spans="1:24" s="464" customFormat="1" ht="15" customHeight="1" x14ac:dyDescent="0.25">
      <c r="A981" s="453"/>
      <c r="B981" s="454"/>
      <c r="C981" s="469"/>
      <c r="D981" s="456"/>
      <c r="E981" s="457"/>
      <c r="F981" s="458"/>
      <c r="G981" s="459"/>
      <c r="H981" s="460"/>
      <c r="I981" s="460"/>
      <c r="J981" s="460"/>
      <c r="K981" s="517"/>
      <c r="L981" s="460"/>
      <c r="M981" s="461"/>
      <c r="N981" s="461"/>
      <c r="O981" s="470"/>
      <c r="P981" s="568" t="str">
        <f>IF(LEFT(B981,5)="09735",
    IF(ISNA(VLOOKUP(Tabla13[[#This Row],[Apoyo]],'LM SAP'!A:G,1,FALSE)),
        "No Disponible",
        IF(VLOOKUP(Tabla13[[#This Row],[Apoyo]],'LM SAP'!A:AD,9,FALSE)="RR",
            "Disponible",
            "Firmas SAP"
        )
    ),
    "CONSULTAR"
)</f>
        <v>CONSULTAR</v>
      </c>
      <c r="Q981" s="460"/>
      <c r="S981" s="460"/>
      <c r="T981" s="465"/>
      <c r="X981" s="466"/>
    </row>
    <row r="982" spans="1:24" s="464" customFormat="1" ht="15" customHeight="1" x14ac:dyDescent="0.25">
      <c r="A982" s="453"/>
      <c r="B982" s="454"/>
      <c r="C982" s="469"/>
      <c r="D982" s="456"/>
      <c r="E982" s="457"/>
      <c r="F982" s="458"/>
      <c r="G982" s="459"/>
      <c r="H982" s="460"/>
      <c r="I982" s="460"/>
      <c r="J982" s="460"/>
      <c r="K982" s="517"/>
      <c r="L982" s="460"/>
      <c r="M982" s="461"/>
      <c r="N982" s="461"/>
      <c r="O982" s="470"/>
      <c r="P982" s="568" t="str">
        <f>IF(LEFT(B982,5)="09735",
    IF(ISNA(VLOOKUP(Tabla13[[#This Row],[Apoyo]],'LM SAP'!A:G,1,FALSE)),
        "No Disponible",
        IF(VLOOKUP(Tabla13[[#This Row],[Apoyo]],'LM SAP'!A:AD,9,FALSE)="RR",
            "Disponible",
            "Firmas SAP"
        )
    ),
    "CONSULTAR"
)</f>
        <v>CONSULTAR</v>
      </c>
      <c r="Q982" s="460"/>
      <c r="S982" s="460"/>
      <c r="T982" s="465"/>
      <c r="X982" s="466"/>
    </row>
    <row r="983" spans="1:24" s="464" customFormat="1" ht="15" customHeight="1" x14ac:dyDescent="0.25">
      <c r="A983" s="453"/>
      <c r="B983" s="454"/>
      <c r="C983" s="469"/>
      <c r="D983" s="456"/>
      <c r="E983" s="457"/>
      <c r="F983" s="458"/>
      <c r="G983" s="459"/>
      <c r="H983" s="460"/>
      <c r="I983" s="460"/>
      <c r="J983" s="460"/>
      <c r="K983" s="517"/>
      <c r="L983" s="460"/>
      <c r="M983" s="461"/>
      <c r="N983" s="461"/>
      <c r="O983" s="470"/>
      <c r="P983" s="568" t="str">
        <f>IF(LEFT(B983,5)="09735",
    IF(ISNA(VLOOKUP(Tabla13[[#This Row],[Apoyo]],'LM SAP'!A:G,1,FALSE)),
        "No Disponible",
        IF(VLOOKUP(Tabla13[[#This Row],[Apoyo]],'LM SAP'!A:AD,9,FALSE)="RR",
            "Disponible",
            "Firmas SAP"
        )
    ),
    "CONSULTAR"
)</f>
        <v>CONSULTAR</v>
      </c>
      <c r="Q983" s="460"/>
      <c r="S983" s="460"/>
      <c r="T983" s="465"/>
      <c r="X983" s="466"/>
    </row>
    <row r="984" spans="1:24" s="464" customFormat="1" ht="15" customHeight="1" x14ac:dyDescent="0.25">
      <c r="A984" s="453"/>
      <c r="B984" s="454"/>
      <c r="C984" s="469"/>
      <c r="D984" s="456"/>
      <c r="E984" s="457"/>
      <c r="F984" s="458"/>
      <c r="G984" s="459"/>
      <c r="H984" s="460"/>
      <c r="I984" s="460"/>
      <c r="J984" s="460"/>
      <c r="K984" s="517"/>
      <c r="L984" s="460"/>
      <c r="M984" s="461"/>
      <c r="N984" s="461"/>
      <c r="O984" s="470"/>
      <c r="P984" s="568" t="str">
        <f>IF(LEFT(B984,5)="09735",
    IF(ISNA(VLOOKUP(Tabla13[[#This Row],[Apoyo]],'LM SAP'!A:G,1,FALSE)),
        "No Disponible",
        IF(VLOOKUP(Tabla13[[#This Row],[Apoyo]],'LM SAP'!A:AD,9,FALSE)="RR",
            "Disponible",
            "Firmas SAP"
        )
    ),
    "CONSULTAR"
)</f>
        <v>CONSULTAR</v>
      </c>
      <c r="Q984" s="460"/>
      <c r="S984" s="460"/>
      <c r="T984" s="465"/>
      <c r="X984" s="466"/>
    </row>
    <row r="985" spans="1:24" s="464" customFormat="1" ht="15" customHeight="1" x14ac:dyDescent="0.25">
      <c r="A985" s="453"/>
      <c r="B985" s="454"/>
      <c r="C985" s="469"/>
      <c r="D985" s="456"/>
      <c r="E985" s="457"/>
      <c r="F985" s="458"/>
      <c r="G985" s="459"/>
      <c r="H985" s="460"/>
      <c r="I985" s="460"/>
      <c r="J985" s="460"/>
      <c r="K985" s="517"/>
      <c r="L985" s="460"/>
      <c r="M985" s="461"/>
      <c r="N985" s="461"/>
      <c r="O985" s="470"/>
      <c r="P985" s="568" t="str">
        <f>IF(LEFT(B985,5)="09735",
    IF(ISNA(VLOOKUP(Tabla13[[#This Row],[Apoyo]],'LM SAP'!A:G,1,FALSE)),
        "No Disponible",
        IF(VLOOKUP(Tabla13[[#This Row],[Apoyo]],'LM SAP'!A:AD,9,FALSE)="RR",
            "Disponible",
            "Firmas SAP"
        )
    ),
    "CONSULTAR"
)</f>
        <v>CONSULTAR</v>
      </c>
      <c r="Q985" s="460"/>
      <c r="S985" s="460"/>
      <c r="T985" s="465"/>
      <c r="X985" s="466"/>
    </row>
    <row r="986" spans="1:24" s="464" customFormat="1" ht="15" customHeight="1" x14ac:dyDescent="0.25">
      <c r="A986" s="453"/>
      <c r="B986" s="454"/>
      <c r="C986" s="469"/>
      <c r="D986" s="456"/>
      <c r="E986" s="457"/>
      <c r="F986" s="458"/>
      <c r="G986" s="459"/>
      <c r="H986" s="460"/>
      <c r="I986" s="460"/>
      <c r="J986" s="460"/>
      <c r="K986" s="517"/>
      <c r="L986" s="460"/>
      <c r="M986" s="461"/>
      <c r="N986" s="461"/>
      <c r="O986" s="470"/>
      <c r="P986" s="568" t="str">
        <f>IF(LEFT(B986,5)="09735",
    IF(ISNA(VLOOKUP(Tabla13[[#This Row],[Apoyo]],'LM SAP'!A:G,1,FALSE)),
        "No Disponible",
        IF(VLOOKUP(Tabla13[[#This Row],[Apoyo]],'LM SAP'!A:AD,9,FALSE)="RR",
            "Disponible",
            "Firmas SAP"
        )
    ),
    "CONSULTAR"
)</f>
        <v>CONSULTAR</v>
      </c>
      <c r="Q986" s="460"/>
      <c r="S986" s="460"/>
      <c r="T986" s="465"/>
      <c r="X986" s="466"/>
    </row>
    <row r="987" spans="1:24" s="464" customFormat="1" ht="15" customHeight="1" x14ac:dyDescent="0.25">
      <c r="A987" s="453"/>
      <c r="B987" s="454"/>
      <c r="C987" s="469"/>
      <c r="D987" s="456"/>
      <c r="E987" s="457"/>
      <c r="F987" s="458"/>
      <c r="G987" s="459"/>
      <c r="H987" s="460"/>
      <c r="I987" s="460"/>
      <c r="J987" s="460"/>
      <c r="K987" s="517"/>
      <c r="L987" s="460"/>
      <c r="M987" s="461"/>
      <c r="N987" s="461"/>
      <c r="O987" s="470"/>
      <c r="P987" s="568" t="str">
        <f>IF(LEFT(B987,5)="09735",
    IF(ISNA(VLOOKUP(Tabla13[[#This Row],[Apoyo]],'LM SAP'!A:G,1,FALSE)),
        "No Disponible",
        IF(VLOOKUP(Tabla13[[#This Row],[Apoyo]],'LM SAP'!A:AD,9,FALSE)="RR",
            "Disponible",
            "Firmas SAP"
        )
    ),
    "CONSULTAR"
)</f>
        <v>CONSULTAR</v>
      </c>
      <c r="Q987" s="460"/>
      <c r="S987" s="460"/>
      <c r="T987" s="465"/>
      <c r="X987" s="466"/>
    </row>
    <row r="988" spans="1:24" s="464" customFormat="1" ht="15" customHeight="1" x14ac:dyDescent="0.25">
      <c r="A988" s="453"/>
      <c r="B988" s="454"/>
      <c r="C988" s="469"/>
      <c r="D988" s="456"/>
      <c r="E988" s="457"/>
      <c r="F988" s="458"/>
      <c r="G988" s="459"/>
      <c r="H988" s="460"/>
      <c r="I988" s="460"/>
      <c r="J988" s="460"/>
      <c r="K988" s="517"/>
      <c r="L988" s="460"/>
      <c r="M988" s="461"/>
      <c r="N988" s="461"/>
      <c r="O988" s="470"/>
      <c r="P988" s="568" t="str">
        <f>IF(LEFT(B988,5)="09735",
    IF(ISNA(VLOOKUP(Tabla13[[#This Row],[Apoyo]],'LM SAP'!A:G,1,FALSE)),
        "No Disponible",
        IF(VLOOKUP(Tabla13[[#This Row],[Apoyo]],'LM SAP'!A:AD,9,FALSE)="RR",
            "Disponible",
            "Firmas SAP"
        )
    ),
    "CONSULTAR"
)</f>
        <v>CONSULTAR</v>
      </c>
      <c r="Q988" s="460"/>
      <c r="S988" s="460"/>
      <c r="T988" s="465"/>
      <c r="X988" s="466"/>
    </row>
    <row r="989" spans="1:24" s="464" customFormat="1" ht="15" customHeight="1" x14ac:dyDescent="0.25">
      <c r="A989" s="453"/>
      <c r="B989" s="454"/>
      <c r="C989" s="469"/>
      <c r="D989" s="456"/>
      <c r="E989" s="457"/>
      <c r="F989" s="458"/>
      <c r="G989" s="459"/>
      <c r="H989" s="460"/>
      <c r="I989" s="460"/>
      <c r="J989" s="460"/>
      <c r="K989" s="517"/>
      <c r="L989" s="460"/>
      <c r="M989" s="461"/>
      <c r="N989" s="461"/>
      <c r="O989" s="470"/>
      <c r="P989" s="568" t="str">
        <f>IF(LEFT(B989,5)="09735",
    IF(ISNA(VLOOKUP(Tabla13[[#This Row],[Apoyo]],'LM SAP'!A:G,1,FALSE)),
        "No Disponible",
        IF(VLOOKUP(Tabla13[[#This Row],[Apoyo]],'LM SAP'!A:AD,9,FALSE)="RR",
            "Disponible",
            "Firmas SAP"
        )
    ),
    "CONSULTAR"
)</f>
        <v>CONSULTAR</v>
      </c>
      <c r="Q989" s="460"/>
      <c r="S989" s="460"/>
      <c r="T989" s="465"/>
      <c r="X989" s="466"/>
    </row>
    <row r="990" spans="1:24" s="464" customFormat="1" ht="15" customHeight="1" x14ac:dyDescent="0.25">
      <c r="A990" s="453"/>
      <c r="B990" s="454"/>
      <c r="C990" s="469"/>
      <c r="D990" s="456"/>
      <c r="E990" s="457"/>
      <c r="F990" s="458"/>
      <c r="G990" s="459"/>
      <c r="H990" s="460"/>
      <c r="I990" s="460"/>
      <c r="J990" s="460"/>
      <c r="K990" s="517"/>
      <c r="L990" s="460"/>
      <c r="M990" s="461"/>
      <c r="N990" s="461"/>
      <c r="O990" s="470"/>
      <c r="P990" s="568" t="str">
        <f>IF(LEFT(B990,5)="09735",
    IF(ISNA(VLOOKUP(Tabla13[[#This Row],[Apoyo]],'LM SAP'!A:G,1,FALSE)),
        "No Disponible",
        IF(VLOOKUP(Tabla13[[#This Row],[Apoyo]],'LM SAP'!A:AD,9,FALSE)="RR",
            "Disponible",
            "Firmas SAP"
        )
    ),
    "CONSULTAR"
)</f>
        <v>CONSULTAR</v>
      </c>
      <c r="Q990" s="460"/>
      <c r="S990" s="460"/>
      <c r="T990" s="465"/>
      <c r="X990" s="466"/>
    </row>
    <row r="991" spans="1:24" s="464" customFormat="1" ht="15" customHeight="1" x14ac:dyDescent="0.25">
      <c r="A991" s="453"/>
      <c r="B991" s="454"/>
      <c r="C991" s="469"/>
      <c r="D991" s="456"/>
      <c r="E991" s="457"/>
      <c r="F991" s="458"/>
      <c r="G991" s="459"/>
      <c r="H991" s="460"/>
      <c r="I991" s="460"/>
      <c r="J991" s="460"/>
      <c r="K991" s="517"/>
      <c r="L991" s="460"/>
      <c r="M991" s="461"/>
      <c r="N991" s="461"/>
      <c r="O991" s="470"/>
      <c r="P991" s="568" t="str">
        <f>IF(LEFT(B991,5)="09735",
    IF(ISNA(VLOOKUP(Tabla13[[#This Row],[Apoyo]],'LM SAP'!A:G,1,FALSE)),
        "No Disponible",
        IF(VLOOKUP(Tabla13[[#This Row],[Apoyo]],'LM SAP'!A:AD,9,FALSE)="RR",
            "Disponible",
            "Firmas SAP"
        )
    ),
    "CONSULTAR"
)</f>
        <v>CONSULTAR</v>
      </c>
      <c r="Q991" s="460"/>
      <c r="S991" s="460"/>
      <c r="T991" s="465"/>
      <c r="X991" s="466"/>
    </row>
    <row r="992" spans="1:24" s="464" customFormat="1" ht="15" customHeight="1" x14ac:dyDescent="0.25">
      <c r="A992" s="453"/>
      <c r="B992" s="454"/>
      <c r="C992" s="469"/>
      <c r="D992" s="456"/>
      <c r="E992" s="457"/>
      <c r="F992" s="458"/>
      <c r="G992" s="459"/>
      <c r="H992" s="460"/>
      <c r="I992" s="460"/>
      <c r="J992" s="460"/>
      <c r="K992" s="517"/>
      <c r="L992" s="460"/>
      <c r="M992" s="461"/>
      <c r="N992" s="461"/>
      <c r="O992" s="470"/>
      <c r="P992" s="568" t="str">
        <f>IF(LEFT(B992,5)="09735",
    IF(ISNA(VLOOKUP(Tabla13[[#This Row],[Apoyo]],'LM SAP'!A:G,1,FALSE)),
        "No Disponible",
        IF(VLOOKUP(Tabla13[[#This Row],[Apoyo]],'LM SAP'!A:AD,9,FALSE)="RR",
            "Disponible",
            "Firmas SAP"
        )
    ),
    "CONSULTAR"
)</f>
        <v>CONSULTAR</v>
      </c>
      <c r="Q992" s="460"/>
      <c r="S992" s="460"/>
      <c r="T992" s="465"/>
      <c r="X992" s="466"/>
    </row>
    <row r="993" spans="1:24" s="464" customFormat="1" ht="15" customHeight="1" x14ac:dyDescent="0.25">
      <c r="A993" s="453"/>
      <c r="B993" s="454"/>
      <c r="C993" s="469"/>
      <c r="D993" s="456"/>
      <c r="E993" s="457"/>
      <c r="F993" s="458"/>
      <c r="G993" s="459"/>
      <c r="H993" s="460"/>
      <c r="I993" s="460"/>
      <c r="J993" s="460"/>
      <c r="K993" s="517"/>
      <c r="L993" s="460"/>
      <c r="M993" s="461"/>
      <c r="N993" s="461"/>
      <c r="O993" s="470"/>
      <c r="P993" s="568" t="str">
        <f>IF(LEFT(B993,5)="09735",
    IF(ISNA(VLOOKUP(Tabla13[[#This Row],[Apoyo]],'LM SAP'!A:G,1,FALSE)),
        "No Disponible",
        IF(VLOOKUP(Tabla13[[#This Row],[Apoyo]],'LM SAP'!A:AD,9,FALSE)="RR",
            "Disponible",
            "Firmas SAP"
        )
    ),
    "CONSULTAR"
)</f>
        <v>CONSULTAR</v>
      </c>
      <c r="Q993" s="460"/>
      <c r="S993" s="460"/>
      <c r="T993" s="465"/>
      <c r="X993" s="466"/>
    </row>
    <row r="994" spans="1:24" s="464" customFormat="1" ht="15" customHeight="1" x14ac:dyDescent="0.25">
      <c r="A994" s="453"/>
      <c r="B994" s="454"/>
      <c r="C994" s="469"/>
      <c r="D994" s="456"/>
      <c r="E994" s="457"/>
      <c r="F994" s="458"/>
      <c r="G994" s="459"/>
      <c r="H994" s="460"/>
      <c r="I994" s="460"/>
      <c r="J994" s="460"/>
      <c r="K994" s="517"/>
      <c r="L994" s="460"/>
      <c r="M994" s="461"/>
      <c r="N994" s="461"/>
      <c r="O994" s="470"/>
      <c r="P994" s="568" t="str">
        <f>IF(LEFT(B994,5)="09735",
    IF(ISNA(VLOOKUP(Tabla13[[#This Row],[Apoyo]],'LM SAP'!A:G,1,FALSE)),
        "No Disponible",
        IF(VLOOKUP(Tabla13[[#This Row],[Apoyo]],'LM SAP'!A:AD,9,FALSE)="RR",
            "Disponible",
            "Firmas SAP"
        )
    ),
    "CONSULTAR"
)</f>
        <v>CONSULTAR</v>
      </c>
      <c r="Q994" s="460"/>
      <c r="S994" s="460"/>
      <c r="T994" s="465"/>
      <c r="X994" s="466"/>
    </row>
    <row r="995" spans="1:24" s="464" customFormat="1" ht="15" customHeight="1" x14ac:dyDescent="0.25">
      <c r="A995" s="453"/>
      <c r="B995" s="454"/>
      <c r="C995" s="469"/>
      <c r="D995" s="456"/>
      <c r="E995" s="457"/>
      <c r="F995" s="458"/>
      <c r="G995" s="459"/>
      <c r="H995" s="460"/>
      <c r="I995" s="460"/>
      <c r="J995" s="460"/>
      <c r="K995" s="517"/>
      <c r="L995" s="460"/>
      <c r="M995" s="461"/>
      <c r="N995" s="461"/>
      <c r="O995" s="470"/>
      <c r="P995" s="568" t="str">
        <f>IF(LEFT(B995,5)="09735",
    IF(ISNA(VLOOKUP(Tabla13[[#This Row],[Apoyo]],'LM SAP'!A:G,1,FALSE)),
        "No Disponible",
        IF(VLOOKUP(Tabla13[[#This Row],[Apoyo]],'LM SAP'!A:AD,9,FALSE)="RR",
            "Disponible",
            "Firmas SAP"
        )
    ),
    "CONSULTAR"
)</f>
        <v>CONSULTAR</v>
      </c>
      <c r="Q995" s="460"/>
      <c r="S995" s="460"/>
      <c r="T995" s="465"/>
      <c r="X995" s="466"/>
    </row>
    <row r="996" spans="1:24" s="464" customFormat="1" ht="15" customHeight="1" x14ac:dyDescent="0.25">
      <c r="A996" s="453"/>
      <c r="B996" s="454"/>
      <c r="C996" s="469"/>
      <c r="D996" s="456"/>
      <c r="E996" s="457"/>
      <c r="F996" s="458"/>
      <c r="G996" s="459"/>
      <c r="H996" s="460"/>
      <c r="I996" s="460"/>
      <c r="J996" s="460"/>
      <c r="K996" s="517"/>
      <c r="L996" s="460"/>
      <c r="M996" s="461"/>
      <c r="N996" s="461"/>
      <c r="O996" s="470"/>
      <c r="P996" s="568" t="str">
        <f>IF(LEFT(B996,5)="09735",
    IF(ISNA(VLOOKUP(Tabla13[[#This Row],[Apoyo]],'LM SAP'!A:G,1,FALSE)),
        "No Disponible",
        IF(VLOOKUP(Tabla13[[#This Row],[Apoyo]],'LM SAP'!A:AD,9,FALSE)="RR",
            "Disponible",
            "Firmas SAP"
        )
    ),
    "CONSULTAR"
)</f>
        <v>CONSULTAR</v>
      </c>
      <c r="Q996" s="460"/>
      <c r="S996" s="460"/>
      <c r="T996" s="465"/>
      <c r="X996" s="466"/>
    </row>
    <row r="997" spans="1:24" s="464" customFormat="1" ht="15" customHeight="1" x14ac:dyDescent="0.25">
      <c r="A997" s="453"/>
      <c r="B997" s="454"/>
      <c r="C997" s="469"/>
      <c r="D997" s="456"/>
      <c r="E997" s="457"/>
      <c r="F997" s="458"/>
      <c r="G997" s="459"/>
      <c r="H997" s="460"/>
      <c r="I997" s="460"/>
      <c r="J997" s="460"/>
      <c r="K997" s="517"/>
      <c r="L997" s="460"/>
      <c r="M997" s="461"/>
      <c r="N997" s="461"/>
      <c r="O997" s="470"/>
      <c r="P997" s="568" t="str">
        <f>IF(LEFT(B997,5)="09735",
    IF(ISNA(VLOOKUP(Tabla13[[#This Row],[Apoyo]],'LM SAP'!A:G,1,FALSE)),
        "No Disponible",
        IF(VLOOKUP(Tabla13[[#This Row],[Apoyo]],'LM SAP'!A:AD,9,FALSE)="RR",
            "Disponible",
            "Firmas SAP"
        )
    ),
    "CONSULTAR"
)</f>
        <v>CONSULTAR</v>
      </c>
      <c r="Q997" s="460"/>
      <c r="S997" s="460"/>
      <c r="T997" s="465"/>
      <c r="X997" s="466"/>
    </row>
    <row r="998" spans="1:24" s="464" customFormat="1" ht="15" customHeight="1" x14ac:dyDescent="0.25">
      <c r="A998" s="453"/>
      <c r="B998" s="454"/>
      <c r="C998" s="469"/>
      <c r="D998" s="456"/>
      <c r="E998" s="457"/>
      <c r="F998" s="458"/>
      <c r="G998" s="459"/>
      <c r="H998" s="460"/>
      <c r="I998" s="460"/>
      <c r="J998" s="460"/>
      <c r="K998" s="517"/>
      <c r="L998" s="460"/>
      <c r="M998" s="461"/>
      <c r="N998" s="461"/>
      <c r="O998" s="470"/>
      <c r="P998" s="568" t="str">
        <f>IF(LEFT(B998,5)="09735",
    IF(ISNA(VLOOKUP(Tabla13[[#This Row],[Apoyo]],'LM SAP'!A:G,1,FALSE)),
        "No Disponible",
        IF(VLOOKUP(Tabla13[[#This Row],[Apoyo]],'LM SAP'!A:AD,9,FALSE)="RR",
            "Disponible",
            "Firmas SAP"
        )
    ),
    "CONSULTAR"
)</f>
        <v>CONSULTAR</v>
      </c>
      <c r="Q998" s="460"/>
      <c r="S998" s="460"/>
      <c r="T998" s="465"/>
      <c r="X998" s="466"/>
    </row>
    <row r="999" spans="1:24" s="464" customFormat="1" ht="15" customHeight="1" x14ac:dyDescent="0.25">
      <c r="A999" s="453"/>
      <c r="B999" s="454"/>
      <c r="C999" s="469"/>
      <c r="D999" s="456"/>
      <c r="E999" s="457"/>
      <c r="F999" s="458"/>
      <c r="G999" s="459"/>
      <c r="H999" s="460"/>
      <c r="I999" s="460"/>
      <c r="J999" s="460"/>
      <c r="K999" s="517"/>
      <c r="L999" s="460"/>
      <c r="M999" s="461"/>
      <c r="N999" s="461"/>
      <c r="O999" s="470"/>
      <c r="P999" s="568" t="str">
        <f>IF(LEFT(B999,5)="09735",
    IF(ISNA(VLOOKUP(Tabla13[[#This Row],[Apoyo]],'LM SAP'!A:G,1,FALSE)),
        "No Disponible",
        IF(VLOOKUP(Tabla13[[#This Row],[Apoyo]],'LM SAP'!A:AD,9,FALSE)="RR",
            "Disponible",
            "Firmas SAP"
        )
    ),
    "CONSULTAR"
)</f>
        <v>CONSULTAR</v>
      </c>
      <c r="Q999" s="460"/>
      <c r="S999" s="460"/>
      <c r="T999" s="465"/>
      <c r="X999" s="466"/>
    </row>
    <row r="1000" spans="1:24" s="464" customFormat="1" ht="15" customHeight="1" x14ac:dyDescent="0.25">
      <c r="A1000" s="453"/>
      <c r="B1000" s="454"/>
      <c r="C1000" s="469"/>
      <c r="D1000" s="456"/>
      <c r="E1000" s="457"/>
      <c r="F1000" s="458"/>
      <c r="G1000" s="459"/>
      <c r="H1000" s="460"/>
      <c r="I1000" s="460"/>
      <c r="J1000" s="460"/>
      <c r="K1000" s="517"/>
      <c r="L1000" s="460"/>
      <c r="M1000" s="461"/>
      <c r="N1000" s="461"/>
      <c r="O1000" s="470"/>
      <c r="P1000" s="568" t="str">
        <f>IF(LEFT(B1000,5)="09735",
    IF(ISNA(VLOOKUP(Tabla13[[#This Row],[Apoyo]],'LM SAP'!A:G,1,FALSE)),
        "No Disponible",
        IF(VLOOKUP(Tabla13[[#This Row],[Apoyo]],'LM SAP'!A:AD,9,FALSE)="RR",
            "Disponible",
            "Firmas SAP"
        )
    ),
    "CONSULTAR"
)</f>
        <v>CONSULTAR</v>
      </c>
      <c r="Q1000" s="460"/>
      <c r="S1000" s="460"/>
      <c r="T1000" s="465"/>
      <c r="X1000" s="466"/>
    </row>
    <row r="1001" spans="1:24" s="464" customFormat="1" ht="15" customHeight="1" x14ac:dyDescent="0.25">
      <c r="A1001" s="453"/>
      <c r="B1001" s="454"/>
      <c r="C1001" s="469"/>
      <c r="D1001" s="456"/>
      <c r="E1001" s="457"/>
      <c r="F1001" s="458"/>
      <c r="G1001" s="459"/>
      <c r="H1001" s="460"/>
      <c r="I1001" s="460"/>
      <c r="J1001" s="460"/>
      <c r="K1001" s="517"/>
      <c r="L1001" s="460"/>
      <c r="M1001" s="461"/>
      <c r="N1001" s="461"/>
      <c r="O1001" s="470"/>
      <c r="P1001" s="568" t="str">
        <f>IF(LEFT(B1001,5)="09735",
    IF(ISNA(VLOOKUP(Tabla13[[#This Row],[Apoyo]],'LM SAP'!A:G,1,FALSE)),
        "No Disponible",
        IF(VLOOKUP(Tabla13[[#This Row],[Apoyo]],'LM SAP'!A:AD,9,FALSE)="RR",
            "Disponible",
            "Firmas SAP"
        )
    ),
    "CONSULTAR"
)</f>
        <v>CONSULTAR</v>
      </c>
      <c r="Q1001" s="460"/>
      <c r="S1001" s="460"/>
      <c r="T1001" s="465"/>
      <c r="X1001" s="466"/>
    </row>
    <row r="1002" spans="1:24" s="464" customFormat="1" ht="15" customHeight="1" x14ac:dyDescent="0.25">
      <c r="A1002" s="453"/>
      <c r="B1002" s="454"/>
      <c r="C1002" s="469"/>
      <c r="D1002" s="456"/>
      <c r="E1002" s="457"/>
      <c r="F1002" s="458"/>
      <c r="G1002" s="459"/>
      <c r="H1002" s="460"/>
      <c r="I1002" s="460"/>
      <c r="J1002" s="460"/>
      <c r="K1002" s="517"/>
      <c r="L1002" s="460"/>
      <c r="M1002" s="461"/>
      <c r="N1002" s="461"/>
      <c r="O1002" s="470"/>
      <c r="P1002" s="568" t="str">
        <f>IF(LEFT(B1002,5)="09735",
    IF(ISNA(VLOOKUP(Tabla13[[#This Row],[Apoyo]],'LM SAP'!A:G,1,FALSE)),
        "No Disponible",
        IF(VLOOKUP(Tabla13[[#This Row],[Apoyo]],'LM SAP'!A:AD,9,FALSE)="RR",
            "Disponible",
            "Firmas SAP"
        )
    ),
    "CONSULTAR"
)</f>
        <v>CONSULTAR</v>
      </c>
      <c r="Q1002" s="460"/>
      <c r="S1002" s="460"/>
      <c r="T1002" s="465"/>
      <c r="X1002" s="466"/>
    </row>
    <row r="1003" spans="1:24" s="464" customFormat="1" ht="15" customHeight="1" x14ac:dyDescent="0.25">
      <c r="A1003" s="453"/>
      <c r="B1003" s="454"/>
      <c r="C1003" s="469"/>
      <c r="D1003" s="456"/>
      <c r="E1003" s="457"/>
      <c r="F1003" s="458"/>
      <c r="G1003" s="459"/>
      <c r="H1003" s="460"/>
      <c r="I1003" s="460"/>
      <c r="J1003" s="460"/>
      <c r="K1003" s="517"/>
      <c r="L1003" s="460"/>
      <c r="M1003" s="461"/>
      <c r="N1003" s="461"/>
      <c r="O1003" s="470"/>
      <c r="P1003" s="568" t="str">
        <f>IF(LEFT(B1003,5)="09735",
    IF(ISNA(VLOOKUP(Tabla13[[#This Row],[Apoyo]],'LM SAP'!A:G,1,FALSE)),
        "No Disponible",
        IF(VLOOKUP(Tabla13[[#This Row],[Apoyo]],'LM SAP'!A:AD,9,FALSE)="RR",
            "Disponible",
            "Firmas SAP"
        )
    ),
    "CONSULTAR"
)</f>
        <v>CONSULTAR</v>
      </c>
      <c r="Q1003" s="460"/>
      <c r="S1003" s="460"/>
      <c r="T1003" s="465"/>
      <c r="X1003" s="466"/>
    </row>
    <row r="1004" spans="1:24" s="464" customFormat="1" ht="15" customHeight="1" x14ac:dyDescent="0.25">
      <c r="A1004" s="453"/>
      <c r="B1004" s="454"/>
      <c r="C1004" s="469"/>
      <c r="D1004" s="456"/>
      <c r="E1004" s="457"/>
      <c r="F1004" s="458"/>
      <c r="G1004" s="459"/>
      <c r="H1004" s="460"/>
      <c r="I1004" s="460"/>
      <c r="J1004" s="460"/>
      <c r="K1004" s="517"/>
      <c r="L1004" s="460"/>
      <c r="M1004" s="461"/>
      <c r="N1004" s="461"/>
      <c r="O1004" s="470"/>
      <c r="P1004" s="568" t="str">
        <f>IF(LEFT(B1004,5)="09735",
    IF(ISNA(VLOOKUP(Tabla13[[#This Row],[Apoyo]],'LM SAP'!A:G,1,FALSE)),
        "No Disponible",
        IF(VLOOKUP(Tabla13[[#This Row],[Apoyo]],'LM SAP'!A:AD,9,FALSE)="RR",
            "Disponible",
            "Firmas SAP"
        )
    ),
    "CONSULTAR"
)</f>
        <v>CONSULTAR</v>
      </c>
      <c r="Q1004" s="460"/>
      <c r="S1004" s="460"/>
      <c r="T1004" s="465"/>
      <c r="X1004" s="466"/>
    </row>
    <row r="1005" spans="1:24" s="464" customFormat="1" ht="15" customHeight="1" x14ac:dyDescent="0.25">
      <c r="A1005" s="453"/>
      <c r="B1005" s="454"/>
      <c r="C1005" s="469"/>
      <c r="D1005" s="456"/>
      <c r="E1005" s="457"/>
      <c r="F1005" s="458"/>
      <c r="G1005" s="459"/>
      <c r="H1005" s="460"/>
      <c r="I1005" s="460"/>
      <c r="J1005" s="460"/>
      <c r="K1005" s="517"/>
      <c r="L1005" s="460"/>
      <c r="M1005" s="461"/>
      <c r="N1005" s="461"/>
      <c r="O1005" s="470"/>
      <c r="P1005" s="568" t="str">
        <f>IF(LEFT(B1005,5)="09735",
    IF(ISNA(VLOOKUP(Tabla13[[#This Row],[Apoyo]],'LM SAP'!A:G,1,FALSE)),
        "No Disponible",
        IF(VLOOKUP(Tabla13[[#This Row],[Apoyo]],'LM SAP'!A:AD,9,FALSE)="RR",
            "Disponible",
            "Firmas SAP"
        )
    ),
    "CONSULTAR"
)</f>
        <v>CONSULTAR</v>
      </c>
      <c r="Q1005" s="460"/>
      <c r="S1005" s="460"/>
      <c r="T1005" s="465"/>
      <c r="X1005" s="466"/>
    </row>
    <row r="1006" spans="1:24" s="464" customFormat="1" ht="15" customHeight="1" x14ac:dyDescent="0.25">
      <c r="A1006" s="453"/>
      <c r="B1006" s="454"/>
      <c r="C1006" s="469"/>
      <c r="D1006" s="456"/>
      <c r="E1006" s="457"/>
      <c r="F1006" s="458"/>
      <c r="G1006" s="459"/>
      <c r="H1006" s="460"/>
      <c r="I1006" s="460"/>
      <c r="J1006" s="460"/>
      <c r="K1006" s="517"/>
      <c r="L1006" s="460"/>
      <c r="M1006" s="461"/>
      <c r="N1006" s="461"/>
      <c r="O1006" s="470"/>
      <c r="P1006" s="568" t="str">
        <f>IF(LEFT(B1006,5)="09735",
    IF(ISNA(VLOOKUP(Tabla13[[#This Row],[Apoyo]],'LM SAP'!A:G,1,FALSE)),
        "No Disponible",
        IF(VLOOKUP(Tabla13[[#This Row],[Apoyo]],'LM SAP'!A:AD,9,FALSE)="RR",
            "Disponible",
            "Firmas SAP"
        )
    ),
    "CONSULTAR"
)</f>
        <v>CONSULTAR</v>
      </c>
      <c r="Q1006" s="460"/>
      <c r="S1006" s="460"/>
      <c r="T1006" s="465"/>
      <c r="X1006" s="466"/>
    </row>
    <row r="1007" spans="1:24" s="464" customFormat="1" ht="15" customHeight="1" x14ac:dyDescent="0.25">
      <c r="A1007" s="453"/>
      <c r="B1007" s="454"/>
      <c r="C1007" s="469"/>
      <c r="D1007" s="456"/>
      <c r="E1007" s="457"/>
      <c r="F1007" s="458"/>
      <c r="G1007" s="459"/>
      <c r="H1007" s="460"/>
      <c r="I1007" s="460"/>
      <c r="J1007" s="460"/>
      <c r="K1007" s="517"/>
      <c r="L1007" s="460"/>
      <c r="M1007" s="461"/>
      <c r="N1007" s="461"/>
      <c r="O1007" s="470"/>
      <c r="P1007" s="568" t="str">
        <f>IF(LEFT(B1007,5)="09735",
    IF(ISNA(VLOOKUP(Tabla13[[#This Row],[Apoyo]],'LM SAP'!A:G,1,FALSE)),
        "No Disponible",
        IF(VLOOKUP(Tabla13[[#This Row],[Apoyo]],'LM SAP'!A:AD,9,FALSE)="RR",
            "Disponible",
            "Firmas SAP"
        )
    ),
    "CONSULTAR"
)</f>
        <v>CONSULTAR</v>
      </c>
      <c r="Q1007" s="460"/>
      <c r="S1007" s="460"/>
      <c r="T1007" s="465"/>
      <c r="X1007" s="466"/>
    </row>
    <row r="1008" spans="1:24" s="464" customFormat="1" ht="15" customHeight="1" x14ac:dyDescent="0.25">
      <c r="A1008" s="453"/>
      <c r="B1008" s="454"/>
      <c r="C1008" s="469"/>
      <c r="D1008" s="456"/>
      <c r="E1008" s="457"/>
      <c r="F1008" s="458"/>
      <c r="G1008" s="459"/>
      <c r="H1008" s="460"/>
      <c r="I1008" s="460"/>
      <c r="J1008" s="460"/>
      <c r="K1008" s="517"/>
      <c r="L1008" s="460"/>
      <c r="M1008" s="461"/>
      <c r="N1008" s="461"/>
      <c r="O1008" s="470"/>
      <c r="P1008" s="568" t="str">
        <f>IF(LEFT(B1008,5)="09735",
    IF(ISNA(VLOOKUP(Tabla13[[#This Row],[Apoyo]],'LM SAP'!A:G,1,FALSE)),
        "No Disponible",
        IF(VLOOKUP(Tabla13[[#This Row],[Apoyo]],'LM SAP'!A:AD,9,FALSE)="RR",
            "Disponible",
            "Firmas SAP"
        )
    ),
    "CONSULTAR"
)</f>
        <v>CONSULTAR</v>
      </c>
      <c r="Q1008" s="460"/>
      <c r="S1008" s="460"/>
      <c r="T1008" s="465"/>
      <c r="X1008" s="466"/>
    </row>
    <row r="1009" spans="1:24" s="464" customFormat="1" ht="15" customHeight="1" x14ac:dyDescent="0.25">
      <c r="A1009" s="453"/>
      <c r="B1009" s="454"/>
      <c r="C1009" s="469"/>
      <c r="D1009" s="456"/>
      <c r="E1009" s="457"/>
      <c r="F1009" s="458"/>
      <c r="G1009" s="459"/>
      <c r="H1009" s="460"/>
      <c r="I1009" s="460"/>
      <c r="J1009" s="460"/>
      <c r="K1009" s="517"/>
      <c r="L1009" s="460"/>
      <c r="M1009" s="461"/>
      <c r="N1009" s="461"/>
      <c r="O1009" s="470"/>
      <c r="P1009" s="568" t="str">
        <f>IF(LEFT(B1009,5)="09735",
    IF(ISNA(VLOOKUP(Tabla13[[#This Row],[Apoyo]],'LM SAP'!A:G,1,FALSE)),
        "No Disponible",
        IF(VLOOKUP(Tabla13[[#This Row],[Apoyo]],'LM SAP'!A:AD,9,FALSE)="RR",
            "Disponible",
            "Firmas SAP"
        )
    ),
    "CONSULTAR"
)</f>
        <v>CONSULTAR</v>
      </c>
      <c r="Q1009" s="460"/>
      <c r="S1009" s="460"/>
      <c r="T1009" s="465"/>
      <c r="X1009" s="466"/>
    </row>
    <row r="1010" spans="1:24" s="464" customFormat="1" ht="15" customHeight="1" x14ac:dyDescent="0.25">
      <c r="A1010" s="453"/>
      <c r="B1010" s="454"/>
      <c r="C1010" s="469"/>
      <c r="D1010" s="456"/>
      <c r="E1010" s="457"/>
      <c r="F1010" s="458"/>
      <c r="G1010" s="459"/>
      <c r="H1010" s="460"/>
      <c r="I1010" s="460"/>
      <c r="J1010" s="460"/>
      <c r="K1010" s="517"/>
      <c r="L1010" s="460"/>
      <c r="M1010" s="461"/>
      <c r="N1010" s="461"/>
      <c r="O1010" s="470"/>
      <c r="P1010" s="568" t="str">
        <f>IF(LEFT(B1010,5)="09735",
    IF(ISNA(VLOOKUP(Tabla13[[#This Row],[Apoyo]],'LM SAP'!A:G,1,FALSE)),
        "No Disponible",
        IF(VLOOKUP(Tabla13[[#This Row],[Apoyo]],'LM SAP'!A:AD,9,FALSE)="RR",
            "Disponible",
            "Firmas SAP"
        )
    ),
    "CONSULTAR"
)</f>
        <v>CONSULTAR</v>
      </c>
      <c r="Q1010" s="460"/>
      <c r="S1010" s="460"/>
      <c r="T1010" s="465"/>
      <c r="X1010" s="466"/>
    </row>
    <row r="1011" spans="1:24" s="464" customFormat="1" ht="15" customHeight="1" x14ac:dyDescent="0.25">
      <c r="A1011" s="453"/>
      <c r="B1011" s="454"/>
      <c r="C1011" s="469"/>
      <c r="D1011" s="456"/>
      <c r="E1011" s="457"/>
      <c r="F1011" s="458"/>
      <c r="G1011" s="459"/>
      <c r="H1011" s="460"/>
      <c r="I1011" s="460"/>
      <c r="J1011" s="460"/>
      <c r="K1011" s="517"/>
      <c r="L1011" s="460"/>
      <c r="M1011" s="461"/>
      <c r="N1011" s="461"/>
      <c r="O1011" s="470"/>
      <c r="P1011" s="568" t="str">
        <f>IF(LEFT(B1011,5)="09735",
    IF(ISNA(VLOOKUP(Tabla13[[#This Row],[Apoyo]],'LM SAP'!A:G,1,FALSE)),
        "No Disponible",
        IF(VLOOKUP(Tabla13[[#This Row],[Apoyo]],'LM SAP'!A:AD,9,FALSE)="RR",
            "Disponible",
            "Firmas SAP"
        )
    ),
    "CONSULTAR"
)</f>
        <v>CONSULTAR</v>
      </c>
      <c r="Q1011" s="460"/>
      <c r="S1011" s="460"/>
      <c r="T1011" s="465"/>
      <c r="X1011" s="466"/>
    </row>
    <row r="1012" spans="1:24" s="464" customFormat="1" ht="15" customHeight="1" x14ac:dyDescent="0.25">
      <c r="A1012" s="453"/>
      <c r="B1012" s="454"/>
      <c r="C1012" s="469"/>
      <c r="D1012" s="456"/>
      <c r="E1012" s="457"/>
      <c r="F1012" s="458"/>
      <c r="G1012" s="459"/>
      <c r="H1012" s="460"/>
      <c r="I1012" s="460"/>
      <c r="J1012" s="460"/>
      <c r="K1012" s="517"/>
      <c r="L1012" s="460"/>
      <c r="M1012" s="461"/>
      <c r="N1012" s="461"/>
      <c r="O1012" s="470"/>
      <c r="P1012" s="568" t="str">
        <f>IF(LEFT(B1012,5)="09735",
    IF(ISNA(VLOOKUP(Tabla13[[#This Row],[Apoyo]],'LM SAP'!A:G,1,FALSE)),
        "No Disponible",
        IF(VLOOKUP(Tabla13[[#This Row],[Apoyo]],'LM SAP'!A:AD,9,FALSE)="RR",
            "Disponible",
            "Firmas SAP"
        )
    ),
    "CONSULTAR"
)</f>
        <v>CONSULTAR</v>
      </c>
      <c r="Q1012" s="460"/>
      <c r="S1012" s="460"/>
      <c r="T1012" s="465"/>
      <c r="X1012" s="466"/>
    </row>
    <row r="1013" spans="1:24" s="464" customFormat="1" ht="15" customHeight="1" x14ac:dyDescent="0.25">
      <c r="A1013" s="453"/>
      <c r="B1013" s="454"/>
      <c r="C1013" s="469"/>
      <c r="D1013" s="456"/>
      <c r="E1013" s="457"/>
      <c r="F1013" s="458"/>
      <c r="G1013" s="459"/>
      <c r="H1013" s="460"/>
      <c r="I1013" s="460"/>
      <c r="J1013" s="460"/>
      <c r="K1013" s="517"/>
      <c r="L1013" s="460"/>
      <c r="M1013" s="461"/>
      <c r="N1013" s="461"/>
      <c r="O1013" s="470"/>
      <c r="P1013" s="568" t="str">
        <f>IF(LEFT(B1013,5)="09735",
    IF(ISNA(VLOOKUP(Tabla13[[#This Row],[Apoyo]],'LM SAP'!A:G,1,FALSE)),
        "No Disponible",
        IF(VLOOKUP(Tabla13[[#This Row],[Apoyo]],'LM SAP'!A:AD,9,FALSE)="RR",
            "Disponible",
            "Firmas SAP"
        )
    ),
    "CONSULTAR"
)</f>
        <v>CONSULTAR</v>
      </c>
      <c r="Q1013" s="460"/>
      <c r="S1013" s="460"/>
      <c r="T1013" s="465"/>
      <c r="X1013" s="466"/>
    </row>
    <row r="1014" spans="1:24" s="464" customFormat="1" ht="15" customHeight="1" x14ac:dyDescent="0.25">
      <c r="A1014" s="453"/>
      <c r="B1014" s="454"/>
      <c r="C1014" s="469"/>
      <c r="D1014" s="456"/>
      <c r="E1014" s="457"/>
      <c r="F1014" s="458"/>
      <c r="G1014" s="459"/>
      <c r="H1014" s="460"/>
      <c r="I1014" s="460"/>
      <c r="J1014" s="460"/>
      <c r="K1014" s="517"/>
      <c r="L1014" s="460"/>
      <c r="M1014" s="461"/>
      <c r="N1014" s="461"/>
      <c r="O1014" s="470"/>
      <c r="P1014" s="568" t="str">
        <f>IF(LEFT(B1014,5)="09735",
    IF(ISNA(VLOOKUP(Tabla13[[#This Row],[Apoyo]],'LM SAP'!A:G,1,FALSE)),
        "No Disponible",
        IF(VLOOKUP(Tabla13[[#This Row],[Apoyo]],'LM SAP'!A:AD,9,FALSE)="RR",
            "Disponible",
            "Firmas SAP"
        )
    ),
    "CONSULTAR"
)</f>
        <v>CONSULTAR</v>
      </c>
      <c r="Q1014" s="460"/>
      <c r="S1014" s="460"/>
      <c r="T1014" s="465"/>
      <c r="X1014" s="466"/>
    </row>
    <row r="1015" spans="1:24" s="464" customFormat="1" ht="15" customHeight="1" x14ac:dyDescent="0.25">
      <c r="A1015" s="453"/>
      <c r="B1015" s="454"/>
      <c r="C1015" s="469"/>
      <c r="D1015" s="456"/>
      <c r="E1015" s="457"/>
      <c r="F1015" s="458"/>
      <c r="G1015" s="459"/>
      <c r="H1015" s="460"/>
      <c r="I1015" s="460"/>
      <c r="J1015" s="460"/>
      <c r="K1015" s="517"/>
      <c r="L1015" s="460"/>
      <c r="M1015" s="461"/>
      <c r="N1015" s="461"/>
      <c r="O1015" s="470"/>
      <c r="P1015" s="568" t="str">
        <f>IF(LEFT(B1015,5)="09735",
    IF(ISNA(VLOOKUP(Tabla13[[#This Row],[Apoyo]],'LM SAP'!A:G,1,FALSE)),
        "No Disponible",
        IF(VLOOKUP(Tabla13[[#This Row],[Apoyo]],'LM SAP'!A:AD,9,FALSE)="RR",
            "Disponible",
            "Firmas SAP"
        )
    ),
    "CONSULTAR"
)</f>
        <v>CONSULTAR</v>
      </c>
      <c r="Q1015" s="460"/>
      <c r="S1015" s="460"/>
      <c r="T1015" s="465"/>
      <c r="X1015" s="466"/>
    </row>
    <row r="1016" spans="1:24" s="464" customFormat="1" ht="15" customHeight="1" x14ac:dyDescent="0.25">
      <c r="A1016" s="453"/>
      <c r="B1016" s="454"/>
      <c r="C1016" s="469"/>
      <c r="D1016" s="456"/>
      <c r="E1016" s="457"/>
      <c r="F1016" s="458"/>
      <c r="G1016" s="459"/>
      <c r="H1016" s="460"/>
      <c r="I1016" s="460"/>
      <c r="J1016" s="460"/>
      <c r="K1016" s="517"/>
      <c r="L1016" s="460"/>
      <c r="M1016" s="461"/>
      <c r="N1016" s="461"/>
      <c r="O1016" s="470"/>
      <c r="P1016" s="568" t="str">
        <f>IF(LEFT(B1016,5)="09735",
    IF(ISNA(VLOOKUP(Tabla13[[#This Row],[Apoyo]],'LM SAP'!A:G,1,FALSE)),
        "No Disponible",
        IF(VLOOKUP(Tabla13[[#This Row],[Apoyo]],'LM SAP'!A:AD,9,FALSE)="RR",
            "Disponible",
            "Firmas SAP"
        )
    ),
    "CONSULTAR"
)</f>
        <v>CONSULTAR</v>
      </c>
      <c r="Q1016" s="460"/>
      <c r="S1016" s="460"/>
      <c r="T1016" s="465"/>
      <c r="X1016" s="466"/>
    </row>
    <row r="1017" spans="1:24" s="464" customFormat="1" ht="15" customHeight="1" x14ac:dyDescent="0.25">
      <c r="A1017" s="453"/>
      <c r="B1017" s="454"/>
      <c r="C1017" s="469"/>
      <c r="D1017" s="456"/>
      <c r="E1017" s="457"/>
      <c r="F1017" s="458"/>
      <c r="G1017" s="459"/>
      <c r="H1017" s="460"/>
      <c r="I1017" s="460"/>
      <c r="J1017" s="460"/>
      <c r="K1017" s="517"/>
      <c r="L1017" s="460"/>
      <c r="M1017" s="461"/>
      <c r="N1017" s="461"/>
      <c r="O1017" s="470"/>
      <c r="P1017" s="568" t="str">
        <f>IF(LEFT(B1017,5)="09735",
    IF(ISNA(VLOOKUP(Tabla13[[#This Row],[Apoyo]],'LM SAP'!A:G,1,FALSE)),
        "No Disponible",
        IF(VLOOKUP(Tabla13[[#This Row],[Apoyo]],'LM SAP'!A:AD,9,FALSE)="RR",
            "Disponible",
            "Firmas SAP"
        )
    ),
    "CONSULTAR"
)</f>
        <v>CONSULTAR</v>
      </c>
      <c r="Q1017" s="460"/>
      <c r="S1017" s="460"/>
      <c r="T1017" s="465"/>
      <c r="X1017" s="466"/>
    </row>
    <row r="1018" spans="1:24" s="464" customFormat="1" ht="15" customHeight="1" x14ac:dyDescent="0.25">
      <c r="A1018" s="453"/>
      <c r="B1018" s="454"/>
      <c r="C1018" s="469"/>
      <c r="D1018" s="456"/>
      <c r="E1018" s="457"/>
      <c r="F1018" s="458"/>
      <c r="G1018" s="459"/>
      <c r="H1018" s="460"/>
      <c r="I1018" s="460"/>
      <c r="J1018" s="460"/>
      <c r="K1018" s="517"/>
      <c r="L1018" s="460"/>
      <c r="M1018" s="461"/>
      <c r="N1018" s="461"/>
      <c r="O1018" s="470"/>
      <c r="P1018" s="568" t="str">
        <f>IF(LEFT(B1018,5)="09735",
    IF(ISNA(VLOOKUP(Tabla13[[#This Row],[Apoyo]],'LM SAP'!A:G,1,FALSE)),
        "No Disponible",
        IF(VLOOKUP(Tabla13[[#This Row],[Apoyo]],'LM SAP'!A:AD,9,FALSE)="RR",
            "Disponible",
            "Firmas SAP"
        )
    ),
    "CONSULTAR"
)</f>
        <v>CONSULTAR</v>
      </c>
      <c r="Q1018" s="460"/>
      <c r="S1018" s="460"/>
      <c r="T1018" s="465"/>
      <c r="X1018" s="466"/>
    </row>
    <row r="1019" spans="1:24" s="464" customFormat="1" ht="15" customHeight="1" x14ac:dyDescent="0.25">
      <c r="A1019" s="453"/>
      <c r="B1019" s="454"/>
      <c r="C1019" s="469"/>
      <c r="D1019" s="456"/>
      <c r="E1019" s="457"/>
      <c r="F1019" s="458"/>
      <c r="G1019" s="459"/>
      <c r="H1019" s="460"/>
      <c r="I1019" s="460"/>
      <c r="J1019" s="460"/>
      <c r="K1019" s="517"/>
      <c r="L1019" s="460"/>
      <c r="M1019" s="461"/>
      <c r="N1019" s="461"/>
      <c r="O1019" s="470"/>
      <c r="P1019" s="568" t="str">
        <f>IF(LEFT(B1019,5)="09735",
    IF(ISNA(VLOOKUP(Tabla13[[#This Row],[Apoyo]],'LM SAP'!A:G,1,FALSE)),
        "No Disponible",
        IF(VLOOKUP(Tabla13[[#This Row],[Apoyo]],'LM SAP'!A:AD,9,FALSE)="RR",
            "Disponible",
            "Firmas SAP"
        )
    ),
    "CONSULTAR"
)</f>
        <v>CONSULTAR</v>
      </c>
      <c r="Q1019" s="460"/>
      <c r="S1019" s="460"/>
      <c r="T1019" s="465"/>
      <c r="X1019" s="466"/>
    </row>
    <row r="1020" spans="1:24" s="464" customFormat="1" ht="15" customHeight="1" x14ac:dyDescent="0.25">
      <c r="A1020" s="453"/>
      <c r="B1020" s="454"/>
      <c r="C1020" s="469"/>
      <c r="D1020" s="456"/>
      <c r="E1020" s="457"/>
      <c r="F1020" s="458"/>
      <c r="G1020" s="459"/>
      <c r="H1020" s="460"/>
      <c r="I1020" s="460"/>
      <c r="J1020" s="460"/>
      <c r="K1020" s="517"/>
      <c r="L1020" s="460"/>
      <c r="M1020" s="461"/>
      <c r="N1020" s="461"/>
      <c r="O1020" s="470"/>
      <c r="P1020" s="568" t="str">
        <f>IF(LEFT(B1020,5)="09735",
    IF(ISNA(VLOOKUP(Tabla13[[#This Row],[Apoyo]],'LM SAP'!A:G,1,FALSE)),
        "No Disponible",
        IF(VLOOKUP(Tabla13[[#This Row],[Apoyo]],'LM SAP'!A:AD,9,FALSE)="RR",
            "Disponible",
            "Firmas SAP"
        )
    ),
    "CONSULTAR"
)</f>
        <v>CONSULTAR</v>
      </c>
      <c r="Q1020" s="460"/>
      <c r="S1020" s="460"/>
      <c r="T1020" s="465"/>
      <c r="X1020" s="466"/>
    </row>
    <row r="1021" spans="1:24" s="464" customFormat="1" ht="15" customHeight="1" x14ac:dyDescent="0.25">
      <c r="A1021" s="453"/>
      <c r="B1021" s="454"/>
      <c r="C1021" s="469"/>
      <c r="D1021" s="456"/>
      <c r="E1021" s="457"/>
      <c r="F1021" s="458"/>
      <c r="G1021" s="459"/>
      <c r="H1021" s="460"/>
      <c r="I1021" s="460"/>
      <c r="J1021" s="460"/>
      <c r="K1021" s="517"/>
      <c r="L1021" s="460"/>
      <c r="M1021" s="461"/>
      <c r="N1021" s="461"/>
      <c r="O1021" s="470"/>
      <c r="P1021" s="568" t="str">
        <f>IF(LEFT(B1021,5)="09735",
    IF(ISNA(VLOOKUP(Tabla13[[#This Row],[Apoyo]],'LM SAP'!A:G,1,FALSE)),
        "No Disponible",
        IF(VLOOKUP(Tabla13[[#This Row],[Apoyo]],'LM SAP'!A:AD,9,FALSE)="RR",
            "Disponible",
            "Firmas SAP"
        )
    ),
    "CONSULTAR"
)</f>
        <v>CONSULTAR</v>
      </c>
      <c r="Q1021" s="460"/>
      <c r="S1021" s="460"/>
      <c r="T1021" s="465"/>
      <c r="X1021" s="466"/>
    </row>
    <row r="1022" spans="1:24" s="464" customFormat="1" ht="15" customHeight="1" x14ac:dyDescent="0.25">
      <c r="A1022" s="453"/>
      <c r="B1022" s="454"/>
      <c r="C1022" s="469"/>
      <c r="D1022" s="456"/>
      <c r="E1022" s="457"/>
      <c r="F1022" s="458"/>
      <c r="G1022" s="459"/>
      <c r="H1022" s="460"/>
      <c r="I1022" s="460"/>
      <c r="J1022" s="460"/>
      <c r="K1022" s="517"/>
      <c r="L1022" s="460"/>
      <c r="M1022" s="461"/>
      <c r="N1022" s="461"/>
      <c r="O1022" s="470"/>
      <c r="P1022" s="568" t="str">
        <f>IF(LEFT(B1022,5)="09735",
    IF(ISNA(VLOOKUP(Tabla13[[#This Row],[Apoyo]],'LM SAP'!A:G,1,FALSE)),
        "No Disponible",
        IF(VLOOKUP(Tabla13[[#This Row],[Apoyo]],'LM SAP'!A:AD,9,FALSE)="RR",
            "Disponible",
            "Firmas SAP"
        )
    ),
    "CONSULTAR"
)</f>
        <v>CONSULTAR</v>
      </c>
      <c r="Q1022" s="460"/>
      <c r="S1022" s="460"/>
      <c r="T1022" s="465"/>
      <c r="X1022" s="466"/>
    </row>
    <row r="1023" spans="1:24" s="464" customFormat="1" ht="15" customHeight="1" x14ac:dyDescent="0.25">
      <c r="A1023" s="453"/>
      <c r="B1023" s="454"/>
      <c r="C1023" s="469"/>
      <c r="D1023" s="456"/>
      <c r="E1023" s="457"/>
      <c r="F1023" s="458"/>
      <c r="G1023" s="459"/>
      <c r="H1023" s="460"/>
      <c r="I1023" s="460"/>
      <c r="J1023" s="460"/>
      <c r="K1023" s="517"/>
      <c r="L1023" s="460"/>
      <c r="M1023" s="461"/>
      <c r="N1023" s="461"/>
      <c r="O1023" s="470"/>
      <c r="P1023" s="568" t="str">
        <f>IF(LEFT(B1023,5)="09735",
    IF(ISNA(VLOOKUP(Tabla13[[#This Row],[Apoyo]],'LM SAP'!A:G,1,FALSE)),
        "No Disponible",
        IF(VLOOKUP(Tabla13[[#This Row],[Apoyo]],'LM SAP'!A:AD,9,FALSE)="RR",
            "Disponible",
            "Firmas SAP"
        )
    ),
    "CONSULTAR"
)</f>
        <v>CONSULTAR</v>
      </c>
      <c r="Q1023" s="460"/>
      <c r="S1023" s="460"/>
      <c r="T1023" s="465"/>
      <c r="X1023" s="466"/>
    </row>
    <row r="1024" spans="1:24" s="464" customFormat="1" ht="15" customHeight="1" x14ac:dyDescent="0.25">
      <c r="A1024" s="453"/>
      <c r="B1024" s="454"/>
      <c r="C1024" s="469"/>
      <c r="D1024" s="456"/>
      <c r="E1024" s="457"/>
      <c r="F1024" s="458"/>
      <c r="G1024" s="459"/>
      <c r="H1024" s="460"/>
      <c r="I1024" s="460"/>
      <c r="J1024" s="460"/>
      <c r="K1024" s="517"/>
      <c r="L1024" s="460"/>
      <c r="M1024" s="461"/>
      <c r="N1024" s="461"/>
      <c r="O1024" s="470"/>
      <c r="P1024" s="568" t="str">
        <f>IF(LEFT(B1024,5)="09735",
    IF(ISNA(VLOOKUP(Tabla13[[#This Row],[Apoyo]],'LM SAP'!A:G,1,FALSE)),
        "No Disponible",
        IF(VLOOKUP(Tabla13[[#This Row],[Apoyo]],'LM SAP'!A:AD,9,FALSE)="RR",
            "Disponible",
            "Firmas SAP"
        )
    ),
    "CONSULTAR"
)</f>
        <v>CONSULTAR</v>
      </c>
      <c r="Q1024" s="460"/>
      <c r="S1024" s="460"/>
      <c r="T1024" s="465"/>
      <c r="X1024" s="466"/>
    </row>
    <row r="1025" spans="1:24" s="464" customFormat="1" ht="15" customHeight="1" x14ac:dyDescent="0.25">
      <c r="A1025" s="453"/>
      <c r="B1025" s="454"/>
      <c r="C1025" s="469"/>
      <c r="D1025" s="456"/>
      <c r="E1025" s="457"/>
      <c r="F1025" s="458"/>
      <c r="G1025" s="459"/>
      <c r="H1025" s="460"/>
      <c r="I1025" s="460"/>
      <c r="J1025" s="460"/>
      <c r="K1025" s="517"/>
      <c r="L1025" s="460"/>
      <c r="M1025" s="461"/>
      <c r="N1025" s="461"/>
      <c r="O1025" s="470"/>
      <c r="P1025" s="568" t="str">
        <f>IF(LEFT(B1025,5)="09735",
    IF(ISNA(VLOOKUP(Tabla13[[#This Row],[Apoyo]],'LM SAP'!A:G,1,FALSE)),
        "No Disponible",
        IF(VLOOKUP(Tabla13[[#This Row],[Apoyo]],'LM SAP'!A:AD,9,FALSE)="RR",
            "Disponible",
            "Firmas SAP"
        )
    ),
    "CONSULTAR"
)</f>
        <v>CONSULTAR</v>
      </c>
      <c r="Q1025" s="460"/>
      <c r="S1025" s="460"/>
      <c r="T1025" s="465"/>
      <c r="X1025" s="466"/>
    </row>
    <row r="1026" spans="1:24" s="464" customFormat="1" ht="15" customHeight="1" x14ac:dyDescent="0.25">
      <c r="A1026" s="453"/>
      <c r="B1026" s="454"/>
      <c r="C1026" s="469"/>
      <c r="D1026" s="456"/>
      <c r="E1026" s="457"/>
      <c r="F1026" s="458"/>
      <c r="G1026" s="459"/>
      <c r="H1026" s="460"/>
      <c r="I1026" s="460"/>
      <c r="J1026" s="460"/>
      <c r="K1026" s="517"/>
      <c r="L1026" s="460"/>
      <c r="M1026" s="461"/>
      <c r="N1026" s="461"/>
      <c r="O1026" s="470"/>
      <c r="P1026" s="568" t="str">
        <f>IF(LEFT(B1026,5)="09735",
    IF(ISNA(VLOOKUP(Tabla13[[#This Row],[Apoyo]],'LM SAP'!A:G,1,FALSE)),
        "No Disponible",
        IF(VLOOKUP(Tabla13[[#This Row],[Apoyo]],'LM SAP'!A:AD,9,FALSE)="RR",
            "Disponible",
            "Firmas SAP"
        )
    ),
    "CONSULTAR"
)</f>
        <v>CONSULTAR</v>
      </c>
      <c r="Q1026" s="460"/>
      <c r="S1026" s="460"/>
      <c r="T1026" s="465"/>
      <c r="X1026" s="466"/>
    </row>
    <row r="1027" spans="1:24" s="464" customFormat="1" ht="15" customHeight="1" x14ac:dyDescent="0.25">
      <c r="A1027" s="453"/>
      <c r="B1027" s="454"/>
      <c r="C1027" s="469"/>
      <c r="D1027" s="456"/>
      <c r="E1027" s="457"/>
      <c r="F1027" s="458"/>
      <c r="G1027" s="459"/>
      <c r="H1027" s="460"/>
      <c r="I1027" s="460"/>
      <c r="J1027" s="460"/>
      <c r="K1027" s="517"/>
      <c r="L1027" s="460"/>
      <c r="M1027" s="461"/>
      <c r="N1027" s="461"/>
      <c r="O1027" s="470"/>
      <c r="P1027" s="568" t="str">
        <f>IF(LEFT(B1027,5)="09735",
    IF(ISNA(VLOOKUP(Tabla13[[#This Row],[Apoyo]],'LM SAP'!A:G,1,FALSE)),
        "No Disponible",
        IF(VLOOKUP(Tabla13[[#This Row],[Apoyo]],'LM SAP'!A:AD,9,FALSE)="RR",
            "Disponible",
            "Firmas SAP"
        )
    ),
    "CONSULTAR"
)</f>
        <v>CONSULTAR</v>
      </c>
      <c r="Q1027" s="460"/>
      <c r="S1027" s="460"/>
      <c r="T1027" s="465"/>
      <c r="X1027" s="466"/>
    </row>
    <row r="1028" spans="1:24" s="464" customFormat="1" ht="15" customHeight="1" x14ac:dyDescent="0.25">
      <c r="A1028" s="453"/>
      <c r="B1028" s="454"/>
      <c r="C1028" s="469"/>
      <c r="D1028" s="456"/>
      <c r="E1028" s="457"/>
      <c r="F1028" s="458"/>
      <c r="G1028" s="459"/>
      <c r="H1028" s="460"/>
      <c r="I1028" s="460"/>
      <c r="J1028" s="460"/>
      <c r="K1028" s="517"/>
      <c r="L1028" s="460"/>
      <c r="M1028" s="461"/>
      <c r="N1028" s="461"/>
      <c r="O1028" s="470"/>
      <c r="P1028" s="568" t="str">
        <f>IF(LEFT(B1028,5)="09735",
    IF(ISNA(VLOOKUP(Tabla13[[#This Row],[Apoyo]],'LM SAP'!A:G,1,FALSE)),
        "No Disponible",
        IF(VLOOKUP(Tabla13[[#This Row],[Apoyo]],'LM SAP'!A:AD,9,FALSE)="RR",
            "Disponible",
            "Firmas SAP"
        )
    ),
    "CONSULTAR"
)</f>
        <v>CONSULTAR</v>
      </c>
      <c r="Q1028" s="460"/>
      <c r="S1028" s="460"/>
      <c r="T1028" s="465"/>
      <c r="X1028" s="466"/>
    </row>
    <row r="1029" spans="1:24" s="464" customFormat="1" ht="15" customHeight="1" x14ac:dyDescent="0.25">
      <c r="A1029" s="453"/>
      <c r="B1029" s="454"/>
      <c r="C1029" s="469"/>
      <c r="D1029" s="456"/>
      <c r="E1029" s="457"/>
      <c r="F1029" s="458"/>
      <c r="G1029" s="459"/>
      <c r="H1029" s="460"/>
      <c r="I1029" s="460"/>
      <c r="J1029" s="460"/>
      <c r="K1029" s="517"/>
      <c r="L1029" s="460"/>
      <c r="M1029" s="461"/>
      <c r="N1029" s="461"/>
      <c r="O1029" s="470"/>
      <c r="P1029" s="568" t="str">
        <f>IF(LEFT(B1029,5)="09735",
    IF(ISNA(VLOOKUP(Tabla13[[#This Row],[Apoyo]],'LM SAP'!A:G,1,FALSE)),
        "No Disponible",
        IF(VLOOKUP(Tabla13[[#This Row],[Apoyo]],'LM SAP'!A:AD,9,FALSE)="RR",
            "Disponible",
            "Firmas SAP"
        )
    ),
    "CONSULTAR"
)</f>
        <v>CONSULTAR</v>
      </c>
      <c r="Q1029" s="460"/>
      <c r="S1029" s="460"/>
      <c r="T1029" s="465"/>
      <c r="X1029" s="466"/>
    </row>
    <row r="1030" spans="1:24" s="464" customFormat="1" ht="15" customHeight="1" x14ac:dyDescent="0.25">
      <c r="A1030" s="453"/>
      <c r="B1030" s="454"/>
      <c r="C1030" s="469"/>
      <c r="D1030" s="456"/>
      <c r="E1030" s="457"/>
      <c r="F1030" s="458"/>
      <c r="G1030" s="459"/>
      <c r="H1030" s="460"/>
      <c r="I1030" s="460"/>
      <c r="J1030" s="460"/>
      <c r="K1030" s="517"/>
      <c r="L1030" s="460"/>
      <c r="M1030" s="461"/>
      <c r="N1030" s="461"/>
      <c r="O1030" s="470"/>
      <c r="P1030" s="568" t="str">
        <f>IF(LEFT(B1030,5)="09735",
    IF(ISNA(VLOOKUP(Tabla13[[#This Row],[Apoyo]],'LM SAP'!A:G,1,FALSE)),
        "No Disponible",
        IF(VLOOKUP(Tabla13[[#This Row],[Apoyo]],'LM SAP'!A:AD,9,FALSE)="RR",
            "Disponible",
            "Firmas SAP"
        )
    ),
    "CONSULTAR"
)</f>
        <v>CONSULTAR</v>
      </c>
      <c r="Q1030" s="460"/>
      <c r="S1030" s="460"/>
      <c r="T1030" s="465"/>
      <c r="X1030" s="466"/>
    </row>
    <row r="1031" spans="1:24" s="464" customFormat="1" ht="15" customHeight="1" x14ac:dyDescent="0.25">
      <c r="A1031" s="453"/>
      <c r="B1031" s="454"/>
      <c r="C1031" s="469"/>
      <c r="D1031" s="456"/>
      <c r="E1031" s="457"/>
      <c r="F1031" s="458"/>
      <c r="G1031" s="459"/>
      <c r="H1031" s="460"/>
      <c r="I1031" s="460"/>
      <c r="J1031" s="460"/>
      <c r="K1031" s="517"/>
      <c r="L1031" s="460"/>
      <c r="M1031" s="461"/>
      <c r="N1031" s="461"/>
      <c r="O1031" s="470"/>
      <c r="P1031" s="568" t="str">
        <f>IF(LEFT(B1031,5)="09735",
    IF(ISNA(VLOOKUP(Tabla13[[#This Row],[Apoyo]],'LM SAP'!A:G,1,FALSE)),
        "No Disponible",
        IF(VLOOKUP(Tabla13[[#This Row],[Apoyo]],'LM SAP'!A:AD,9,FALSE)="RR",
            "Disponible",
            "Firmas SAP"
        )
    ),
    "CONSULTAR"
)</f>
        <v>CONSULTAR</v>
      </c>
      <c r="Q1031" s="460"/>
      <c r="S1031" s="460"/>
      <c r="T1031" s="465"/>
      <c r="X1031" s="466"/>
    </row>
    <row r="1032" spans="1:24" s="464" customFormat="1" ht="15" customHeight="1" x14ac:dyDescent="0.25">
      <c r="A1032" s="453"/>
      <c r="B1032" s="454"/>
      <c r="C1032" s="469"/>
      <c r="D1032" s="456"/>
      <c r="E1032" s="457"/>
      <c r="F1032" s="458"/>
      <c r="G1032" s="459"/>
      <c r="H1032" s="460"/>
      <c r="I1032" s="460"/>
      <c r="J1032" s="460"/>
      <c r="K1032" s="517"/>
      <c r="L1032" s="460"/>
      <c r="M1032" s="461"/>
      <c r="N1032" s="461"/>
      <c r="O1032" s="470"/>
      <c r="P1032" s="568" t="str">
        <f>IF(LEFT(B1032,5)="09735",
    IF(ISNA(VLOOKUP(Tabla13[[#This Row],[Apoyo]],'LM SAP'!A:G,1,FALSE)),
        "No Disponible",
        IF(VLOOKUP(Tabla13[[#This Row],[Apoyo]],'LM SAP'!A:AD,9,FALSE)="RR",
            "Disponible",
            "Firmas SAP"
        )
    ),
    "CONSULTAR"
)</f>
        <v>CONSULTAR</v>
      </c>
      <c r="Q1032" s="460"/>
      <c r="S1032" s="460"/>
      <c r="T1032" s="465"/>
      <c r="X1032" s="466"/>
    </row>
    <row r="1033" spans="1:24" s="464" customFormat="1" ht="15" customHeight="1" x14ac:dyDescent="0.25">
      <c r="A1033" s="453"/>
      <c r="B1033" s="454"/>
      <c r="C1033" s="469"/>
      <c r="D1033" s="456"/>
      <c r="E1033" s="457"/>
      <c r="F1033" s="458"/>
      <c r="G1033" s="459"/>
      <c r="H1033" s="460"/>
      <c r="I1033" s="460"/>
      <c r="J1033" s="460"/>
      <c r="K1033" s="517"/>
      <c r="L1033" s="460"/>
      <c r="M1033" s="461"/>
      <c r="N1033" s="461"/>
      <c r="O1033" s="470"/>
      <c r="P1033" s="568" t="str">
        <f>IF(LEFT(B1033,5)="09735",
    IF(ISNA(VLOOKUP(Tabla13[[#This Row],[Apoyo]],'LM SAP'!A:G,1,FALSE)),
        "No Disponible",
        IF(VLOOKUP(Tabla13[[#This Row],[Apoyo]],'LM SAP'!A:AD,9,FALSE)="RR",
            "Disponible",
            "Firmas SAP"
        )
    ),
    "CONSULTAR"
)</f>
        <v>CONSULTAR</v>
      </c>
      <c r="Q1033" s="460"/>
      <c r="S1033" s="460"/>
      <c r="T1033" s="465"/>
      <c r="X1033" s="466"/>
    </row>
    <row r="1034" spans="1:24" s="464" customFormat="1" ht="15" customHeight="1" x14ac:dyDescent="0.25">
      <c r="A1034" s="453"/>
      <c r="B1034" s="454"/>
      <c r="C1034" s="469"/>
      <c r="D1034" s="456"/>
      <c r="E1034" s="457"/>
      <c r="F1034" s="458"/>
      <c r="G1034" s="459"/>
      <c r="H1034" s="460"/>
      <c r="I1034" s="460"/>
      <c r="J1034" s="460"/>
      <c r="K1034" s="517"/>
      <c r="L1034" s="460"/>
      <c r="M1034" s="461"/>
      <c r="N1034" s="461"/>
      <c r="O1034" s="470"/>
      <c r="P1034" s="568" t="str">
        <f>IF(LEFT(B1034,5)="09735",
    IF(ISNA(VLOOKUP(Tabla13[[#This Row],[Apoyo]],'LM SAP'!A:G,1,FALSE)),
        "No Disponible",
        IF(VLOOKUP(Tabla13[[#This Row],[Apoyo]],'LM SAP'!A:AD,9,FALSE)="RR",
            "Disponible",
            "Firmas SAP"
        )
    ),
    "CONSULTAR"
)</f>
        <v>CONSULTAR</v>
      </c>
      <c r="Q1034" s="460"/>
      <c r="S1034" s="460"/>
      <c r="T1034" s="465"/>
      <c r="X1034" s="466"/>
    </row>
    <row r="1035" spans="1:24" s="464" customFormat="1" ht="15" customHeight="1" x14ac:dyDescent="0.25">
      <c r="A1035" s="453"/>
      <c r="B1035" s="454"/>
      <c r="C1035" s="469"/>
      <c r="D1035" s="456"/>
      <c r="E1035" s="457"/>
      <c r="F1035" s="458"/>
      <c r="G1035" s="459"/>
      <c r="H1035" s="460"/>
      <c r="I1035" s="460"/>
      <c r="J1035" s="460"/>
      <c r="K1035" s="517"/>
      <c r="L1035" s="460"/>
      <c r="M1035" s="461"/>
      <c r="N1035" s="461"/>
      <c r="O1035" s="470"/>
      <c r="P1035" s="568" t="str">
        <f>IF(LEFT(B1035,5)="09735",
    IF(ISNA(VLOOKUP(Tabla13[[#This Row],[Apoyo]],'LM SAP'!A:G,1,FALSE)),
        "No Disponible",
        IF(VLOOKUP(Tabla13[[#This Row],[Apoyo]],'LM SAP'!A:AD,9,FALSE)="RR",
            "Disponible",
            "Firmas SAP"
        )
    ),
    "CONSULTAR"
)</f>
        <v>CONSULTAR</v>
      </c>
      <c r="Q1035" s="460"/>
      <c r="S1035" s="460"/>
      <c r="T1035" s="465"/>
      <c r="X1035" s="466"/>
    </row>
    <row r="1036" spans="1:24" s="464" customFormat="1" ht="15" customHeight="1" x14ac:dyDescent="0.25">
      <c r="A1036" s="453"/>
      <c r="B1036" s="454"/>
      <c r="C1036" s="469"/>
      <c r="D1036" s="456"/>
      <c r="E1036" s="457"/>
      <c r="F1036" s="458"/>
      <c r="G1036" s="459"/>
      <c r="H1036" s="460"/>
      <c r="I1036" s="460"/>
      <c r="J1036" s="460"/>
      <c r="K1036" s="517"/>
      <c r="L1036" s="460"/>
      <c r="M1036" s="461"/>
      <c r="N1036" s="461"/>
      <c r="O1036" s="470"/>
      <c r="P1036" s="568" t="str">
        <f>IF(LEFT(B1036,5)="09735",
    IF(ISNA(VLOOKUP(Tabla13[[#This Row],[Apoyo]],'LM SAP'!A:G,1,FALSE)),
        "No Disponible",
        IF(VLOOKUP(Tabla13[[#This Row],[Apoyo]],'LM SAP'!A:AD,9,FALSE)="RR",
            "Disponible",
            "Firmas SAP"
        )
    ),
    "CONSULTAR"
)</f>
        <v>CONSULTAR</v>
      </c>
      <c r="Q1036" s="460"/>
      <c r="S1036" s="460"/>
      <c r="T1036" s="465"/>
      <c r="X1036" s="466"/>
    </row>
    <row r="1037" spans="1:24" s="464" customFormat="1" ht="15" customHeight="1" x14ac:dyDescent="0.25">
      <c r="A1037" s="453"/>
      <c r="B1037" s="454"/>
      <c r="C1037" s="469"/>
      <c r="D1037" s="456"/>
      <c r="E1037" s="457"/>
      <c r="F1037" s="458"/>
      <c r="G1037" s="459"/>
      <c r="H1037" s="460"/>
      <c r="I1037" s="460"/>
      <c r="J1037" s="460"/>
      <c r="K1037" s="517"/>
      <c r="L1037" s="460"/>
      <c r="M1037" s="461"/>
      <c r="N1037" s="461"/>
      <c r="O1037" s="470"/>
      <c r="P1037" s="568" t="str">
        <f>IF(LEFT(B1037,5)="09735",
    IF(ISNA(VLOOKUP(Tabla13[[#This Row],[Apoyo]],'LM SAP'!A:G,1,FALSE)),
        "No Disponible",
        IF(VLOOKUP(Tabla13[[#This Row],[Apoyo]],'LM SAP'!A:AD,9,FALSE)="RR",
            "Disponible",
            "Firmas SAP"
        )
    ),
    "CONSULTAR"
)</f>
        <v>CONSULTAR</v>
      </c>
      <c r="Q1037" s="460"/>
      <c r="S1037" s="460"/>
      <c r="T1037" s="465"/>
      <c r="X1037" s="466"/>
    </row>
    <row r="1038" spans="1:24" s="464" customFormat="1" ht="15" customHeight="1" x14ac:dyDescent="0.25">
      <c r="A1038" s="453"/>
      <c r="B1038" s="454"/>
      <c r="C1038" s="469"/>
      <c r="D1038" s="456"/>
      <c r="E1038" s="457"/>
      <c r="F1038" s="458"/>
      <c r="G1038" s="459"/>
      <c r="H1038" s="460"/>
      <c r="I1038" s="460"/>
      <c r="J1038" s="460"/>
      <c r="K1038" s="517"/>
      <c r="L1038" s="460"/>
      <c r="M1038" s="461"/>
      <c r="N1038" s="461"/>
      <c r="O1038" s="470"/>
      <c r="P1038" s="568" t="str">
        <f>IF(LEFT(B1038,5)="09735",
    IF(ISNA(VLOOKUP(Tabla13[[#This Row],[Apoyo]],'LM SAP'!A:G,1,FALSE)),
        "No Disponible",
        IF(VLOOKUP(Tabla13[[#This Row],[Apoyo]],'LM SAP'!A:AD,9,FALSE)="RR",
            "Disponible",
            "Firmas SAP"
        )
    ),
    "CONSULTAR"
)</f>
        <v>CONSULTAR</v>
      </c>
      <c r="Q1038" s="460"/>
      <c r="S1038" s="460"/>
      <c r="T1038" s="465"/>
      <c r="X1038" s="466"/>
    </row>
    <row r="1039" spans="1:24" s="464" customFormat="1" ht="15" customHeight="1" x14ac:dyDescent="0.25">
      <c r="A1039" s="453"/>
      <c r="B1039" s="454"/>
      <c r="C1039" s="469"/>
      <c r="D1039" s="456"/>
      <c r="E1039" s="457"/>
      <c r="F1039" s="458"/>
      <c r="G1039" s="459"/>
      <c r="H1039" s="460"/>
      <c r="I1039" s="460"/>
      <c r="J1039" s="460"/>
      <c r="K1039" s="517"/>
      <c r="L1039" s="460"/>
      <c r="M1039" s="461"/>
      <c r="N1039" s="461"/>
      <c r="O1039" s="470"/>
      <c r="P1039" s="568" t="str">
        <f>IF(LEFT(B1039,5)="09735",
    IF(ISNA(VLOOKUP(Tabla13[[#This Row],[Apoyo]],'LM SAP'!A:G,1,FALSE)),
        "No Disponible",
        IF(VLOOKUP(Tabla13[[#This Row],[Apoyo]],'LM SAP'!A:AD,9,FALSE)="RR",
            "Disponible",
            "Firmas SAP"
        )
    ),
    "CONSULTAR"
)</f>
        <v>CONSULTAR</v>
      </c>
      <c r="Q1039" s="460"/>
      <c r="S1039" s="460"/>
      <c r="T1039" s="465"/>
      <c r="X1039" s="466"/>
    </row>
    <row r="1040" spans="1:24" s="464" customFormat="1" ht="15" customHeight="1" x14ac:dyDescent="0.25">
      <c r="A1040" s="453"/>
      <c r="B1040" s="454"/>
      <c r="C1040" s="469"/>
      <c r="D1040" s="456"/>
      <c r="E1040" s="457"/>
      <c r="F1040" s="458"/>
      <c r="G1040" s="459"/>
      <c r="H1040" s="460"/>
      <c r="I1040" s="460"/>
      <c r="J1040" s="460"/>
      <c r="K1040" s="517"/>
      <c r="L1040" s="460"/>
      <c r="M1040" s="461"/>
      <c r="N1040" s="461"/>
      <c r="O1040" s="470"/>
      <c r="P1040" s="568" t="str">
        <f>IF(LEFT(B1040,5)="09735",
    IF(ISNA(VLOOKUP(Tabla13[[#This Row],[Apoyo]],'LM SAP'!A:G,1,FALSE)),
        "No Disponible",
        IF(VLOOKUP(Tabla13[[#This Row],[Apoyo]],'LM SAP'!A:AD,9,FALSE)="RR",
            "Disponible",
            "Firmas SAP"
        )
    ),
    "CONSULTAR"
)</f>
        <v>CONSULTAR</v>
      </c>
      <c r="Q1040" s="460"/>
      <c r="S1040" s="460"/>
      <c r="T1040" s="465"/>
      <c r="X1040" s="466"/>
    </row>
    <row r="1041" spans="1:24" s="464" customFormat="1" ht="15" customHeight="1" x14ac:dyDescent="0.25">
      <c r="A1041" s="453"/>
      <c r="B1041" s="454"/>
      <c r="C1041" s="469"/>
      <c r="D1041" s="456"/>
      <c r="E1041" s="457"/>
      <c r="F1041" s="458"/>
      <c r="G1041" s="459"/>
      <c r="H1041" s="460"/>
      <c r="I1041" s="460"/>
      <c r="J1041" s="460"/>
      <c r="K1041" s="517"/>
      <c r="L1041" s="460"/>
      <c r="M1041" s="461"/>
      <c r="N1041" s="461"/>
      <c r="O1041" s="470"/>
      <c r="P1041" s="568" t="str">
        <f>IF(LEFT(B1041,5)="09735",
    IF(ISNA(VLOOKUP(Tabla13[[#This Row],[Apoyo]],'LM SAP'!A:G,1,FALSE)),
        "No Disponible",
        IF(VLOOKUP(Tabla13[[#This Row],[Apoyo]],'LM SAP'!A:AD,9,FALSE)="RR",
            "Disponible",
            "Firmas SAP"
        )
    ),
    "CONSULTAR"
)</f>
        <v>CONSULTAR</v>
      </c>
      <c r="Q1041" s="460"/>
      <c r="S1041" s="460"/>
      <c r="T1041" s="465"/>
      <c r="X1041" s="466"/>
    </row>
    <row r="1042" spans="1:24" s="464" customFormat="1" ht="15" customHeight="1" x14ac:dyDescent="0.25">
      <c r="A1042" s="453"/>
      <c r="B1042" s="454"/>
      <c r="C1042" s="469"/>
      <c r="D1042" s="456"/>
      <c r="E1042" s="457"/>
      <c r="F1042" s="458"/>
      <c r="G1042" s="459"/>
      <c r="H1042" s="460"/>
      <c r="I1042" s="460"/>
      <c r="J1042" s="460"/>
      <c r="K1042" s="517"/>
      <c r="L1042" s="460"/>
      <c r="M1042" s="461"/>
      <c r="N1042" s="461"/>
      <c r="O1042" s="470"/>
      <c r="P1042" s="568" t="str">
        <f>IF(LEFT(B1042,5)="09735",
    IF(ISNA(VLOOKUP(Tabla13[[#This Row],[Apoyo]],'LM SAP'!A:G,1,FALSE)),
        "No Disponible",
        IF(VLOOKUP(Tabla13[[#This Row],[Apoyo]],'LM SAP'!A:AD,9,FALSE)="RR",
            "Disponible",
            "Firmas SAP"
        )
    ),
    "CONSULTAR"
)</f>
        <v>CONSULTAR</v>
      </c>
      <c r="Q1042" s="460"/>
      <c r="S1042" s="460"/>
      <c r="T1042" s="465"/>
      <c r="X1042" s="466"/>
    </row>
    <row r="1043" spans="1:24" s="464" customFormat="1" ht="15" customHeight="1" x14ac:dyDescent="0.25">
      <c r="A1043" s="453"/>
      <c r="B1043" s="454"/>
      <c r="C1043" s="469"/>
      <c r="D1043" s="456"/>
      <c r="E1043" s="457"/>
      <c r="F1043" s="458"/>
      <c r="G1043" s="459"/>
      <c r="H1043" s="460"/>
      <c r="I1043" s="460"/>
      <c r="J1043" s="460"/>
      <c r="K1043" s="517"/>
      <c r="L1043" s="460"/>
      <c r="M1043" s="461"/>
      <c r="N1043" s="461"/>
      <c r="O1043" s="470"/>
      <c r="P1043" s="568" t="str">
        <f>IF(LEFT(B1043,5)="09735",
    IF(ISNA(VLOOKUP(Tabla13[[#This Row],[Apoyo]],'LM SAP'!A:G,1,FALSE)),
        "No Disponible",
        IF(VLOOKUP(Tabla13[[#This Row],[Apoyo]],'LM SAP'!A:AD,9,FALSE)="RR",
            "Disponible",
            "Firmas SAP"
        )
    ),
    "CONSULTAR"
)</f>
        <v>CONSULTAR</v>
      </c>
      <c r="Q1043" s="460"/>
      <c r="S1043" s="460"/>
      <c r="T1043" s="465"/>
      <c r="X1043" s="466"/>
    </row>
    <row r="1044" spans="1:24" s="464" customFormat="1" ht="15" customHeight="1" x14ac:dyDescent="0.25">
      <c r="A1044" s="453"/>
      <c r="B1044" s="454"/>
      <c r="C1044" s="469"/>
      <c r="D1044" s="456"/>
      <c r="E1044" s="457"/>
      <c r="F1044" s="458"/>
      <c r="G1044" s="459"/>
      <c r="H1044" s="460"/>
      <c r="I1044" s="460"/>
      <c r="J1044" s="460"/>
      <c r="K1044" s="517"/>
      <c r="L1044" s="460"/>
      <c r="M1044" s="461"/>
      <c r="N1044" s="461"/>
      <c r="O1044" s="470"/>
      <c r="P1044" s="568" t="str">
        <f>IF(LEFT(B1044,5)="09735",
    IF(ISNA(VLOOKUP(Tabla13[[#This Row],[Apoyo]],'LM SAP'!A:G,1,FALSE)),
        "No Disponible",
        IF(VLOOKUP(Tabla13[[#This Row],[Apoyo]],'LM SAP'!A:AD,9,FALSE)="RR",
            "Disponible",
            "Firmas SAP"
        )
    ),
    "CONSULTAR"
)</f>
        <v>CONSULTAR</v>
      </c>
      <c r="Q1044" s="460"/>
      <c r="S1044" s="460"/>
      <c r="T1044" s="465"/>
      <c r="X1044" s="466"/>
    </row>
    <row r="1045" spans="1:24" s="464" customFormat="1" ht="15" customHeight="1" x14ac:dyDescent="0.25">
      <c r="A1045" s="453"/>
      <c r="B1045" s="454"/>
      <c r="C1045" s="469"/>
      <c r="D1045" s="456"/>
      <c r="E1045" s="457"/>
      <c r="F1045" s="458"/>
      <c r="G1045" s="459"/>
      <c r="H1045" s="460"/>
      <c r="I1045" s="460"/>
      <c r="J1045" s="460"/>
      <c r="K1045" s="517"/>
      <c r="L1045" s="460"/>
      <c r="M1045" s="461"/>
      <c r="N1045" s="461"/>
      <c r="O1045" s="470"/>
      <c r="P1045" s="568" t="str">
        <f>IF(LEFT(B1045,5)="09735",
    IF(ISNA(VLOOKUP(Tabla13[[#This Row],[Apoyo]],'LM SAP'!A:G,1,FALSE)),
        "No Disponible",
        IF(VLOOKUP(Tabla13[[#This Row],[Apoyo]],'LM SAP'!A:AD,9,FALSE)="RR",
            "Disponible",
            "Firmas SAP"
        )
    ),
    "CONSULTAR"
)</f>
        <v>CONSULTAR</v>
      </c>
      <c r="Q1045" s="460"/>
      <c r="S1045" s="460"/>
      <c r="T1045" s="465"/>
      <c r="X1045" s="466"/>
    </row>
    <row r="1046" spans="1:24" s="464" customFormat="1" ht="15" customHeight="1" x14ac:dyDescent="0.25">
      <c r="A1046" s="453"/>
      <c r="B1046" s="454"/>
      <c r="C1046" s="469"/>
      <c r="D1046" s="456"/>
      <c r="E1046" s="457"/>
      <c r="F1046" s="458"/>
      <c r="G1046" s="459"/>
      <c r="H1046" s="460"/>
      <c r="I1046" s="460"/>
      <c r="J1046" s="460"/>
      <c r="K1046" s="517"/>
      <c r="L1046" s="460"/>
      <c r="M1046" s="461"/>
      <c r="N1046" s="461"/>
      <c r="O1046" s="470"/>
      <c r="P1046" s="568" t="str">
        <f>IF(LEFT(B1046,5)="09735",
    IF(ISNA(VLOOKUP(Tabla13[[#This Row],[Apoyo]],'LM SAP'!A:G,1,FALSE)),
        "No Disponible",
        IF(VLOOKUP(Tabla13[[#This Row],[Apoyo]],'LM SAP'!A:AD,9,FALSE)="RR",
            "Disponible",
            "Firmas SAP"
        )
    ),
    "CONSULTAR"
)</f>
        <v>CONSULTAR</v>
      </c>
      <c r="Q1046" s="460"/>
      <c r="S1046" s="460"/>
      <c r="T1046" s="465"/>
      <c r="X1046" s="466"/>
    </row>
    <row r="1047" spans="1:24" s="464" customFormat="1" ht="15" customHeight="1" x14ac:dyDescent="0.25">
      <c r="A1047" s="453"/>
      <c r="B1047" s="454"/>
      <c r="C1047" s="469"/>
      <c r="D1047" s="456"/>
      <c r="E1047" s="457"/>
      <c r="F1047" s="458"/>
      <c r="G1047" s="459"/>
      <c r="H1047" s="460"/>
      <c r="I1047" s="460"/>
      <c r="J1047" s="460"/>
      <c r="K1047" s="517"/>
      <c r="L1047" s="460"/>
      <c r="M1047" s="461"/>
      <c r="N1047" s="461"/>
      <c r="O1047" s="470"/>
      <c r="P1047" s="568" t="str">
        <f>IF(LEFT(B1047,5)="09735",
    IF(ISNA(VLOOKUP(Tabla13[[#This Row],[Apoyo]],'LM SAP'!A:G,1,FALSE)),
        "No Disponible",
        IF(VLOOKUP(Tabla13[[#This Row],[Apoyo]],'LM SAP'!A:AD,9,FALSE)="RR",
            "Disponible",
            "Firmas SAP"
        )
    ),
    "CONSULTAR"
)</f>
        <v>CONSULTAR</v>
      </c>
      <c r="Q1047" s="460"/>
      <c r="S1047" s="460"/>
      <c r="T1047" s="465"/>
      <c r="X1047" s="466"/>
    </row>
    <row r="1048" spans="1:24" s="464" customFormat="1" ht="15" customHeight="1" x14ac:dyDescent="0.25">
      <c r="A1048" s="453"/>
      <c r="B1048" s="454"/>
      <c r="C1048" s="469"/>
      <c r="D1048" s="456"/>
      <c r="E1048" s="457"/>
      <c r="F1048" s="458"/>
      <c r="G1048" s="459"/>
      <c r="H1048" s="460"/>
      <c r="I1048" s="460"/>
      <c r="J1048" s="460"/>
      <c r="K1048" s="517"/>
      <c r="L1048" s="460"/>
      <c r="M1048" s="461"/>
      <c r="N1048" s="461"/>
      <c r="O1048" s="470"/>
      <c r="P1048" s="568" t="str">
        <f>IF(LEFT(B1048,5)="09735",
    IF(ISNA(VLOOKUP(Tabla13[[#This Row],[Apoyo]],'LM SAP'!A:G,1,FALSE)),
        "No Disponible",
        IF(VLOOKUP(Tabla13[[#This Row],[Apoyo]],'LM SAP'!A:AD,9,FALSE)="RR",
            "Disponible",
            "Firmas SAP"
        )
    ),
    "CONSULTAR"
)</f>
        <v>CONSULTAR</v>
      </c>
      <c r="Q1048" s="460"/>
      <c r="S1048" s="460"/>
      <c r="T1048" s="465"/>
      <c r="X1048" s="466"/>
    </row>
    <row r="1049" spans="1:24" s="464" customFormat="1" ht="15" customHeight="1" x14ac:dyDescent="0.25">
      <c r="A1049" s="453"/>
      <c r="B1049" s="454"/>
      <c r="C1049" s="469"/>
      <c r="D1049" s="456"/>
      <c r="E1049" s="457"/>
      <c r="F1049" s="458"/>
      <c r="G1049" s="459"/>
      <c r="H1049" s="460"/>
      <c r="I1049" s="460"/>
      <c r="J1049" s="460"/>
      <c r="K1049" s="517"/>
      <c r="L1049" s="460"/>
      <c r="M1049" s="461"/>
      <c r="N1049" s="461"/>
      <c r="O1049" s="470"/>
      <c r="P1049" s="568" t="str">
        <f>IF(LEFT(B1049,5)="09735",
    IF(ISNA(VLOOKUP(Tabla13[[#This Row],[Apoyo]],'LM SAP'!A:G,1,FALSE)),
        "No Disponible",
        IF(VLOOKUP(Tabla13[[#This Row],[Apoyo]],'LM SAP'!A:AD,9,FALSE)="RR",
            "Disponible",
            "Firmas SAP"
        )
    ),
    "CONSULTAR"
)</f>
        <v>CONSULTAR</v>
      </c>
      <c r="Q1049" s="460"/>
      <c r="S1049" s="460"/>
      <c r="T1049" s="465"/>
      <c r="X1049" s="466"/>
    </row>
    <row r="1050" spans="1:24" s="464" customFormat="1" ht="15" customHeight="1" x14ac:dyDescent="0.25">
      <c r="A1050" s="453"/>
      <c r="B1050" s="454"/>
      <c r="C1050" s="469"/>
      <c r="D1050" s="456"/>
      <c r="E1050" s="457"/>
      <c r="F1050" s="458"/>
      <c r="G1050" s="459"/>
      <c r="H1050" s="460"/>
      <c r="I1050" s="460"/>
      <c r="J1050" s="460"/>
      <c r="K1050" s="517"/>
      <c r="L1050" s="460"/>
      <c r="M1050" s="461"/>
      <c r="N1050" s="461"/>
      <c r="O1050" s="470"/>
      <c r="P1050" s="568" t="str">
        <f>IF(LEFT(B1050,5)="09735",
    IF(ISNA(VLOOKUP(Tabla13[[#This Row],[Apoyo]],'LM SAP'!A:G,1,FALSE)),
        "No Disponible",
        IF(VLOOKUP(Tabla13[[#This Row],[Apoyo]],'LM SAP'!A:AD,9,FALSE)="RR",
            "Disponible",
            "Firmas SAP"
        )
    ),
    "CONSULTAR"
)</f>
        <v>CONSULTAR</v>
      </c>
      <c r="Q1050" s="460"/>
      <c r="S1050" s="460"/>
      <c r="T1050" s="465"/>
      <c r="X1050" s="466"/>
    </row>
    <row r="1051" spans="1:24" s="464" customFormat="1" ht="15" customHeight="1" x14ac:dyDescent="0.25">
      <c r="A1051" s="453"/>
      <c r="B1051" s="454"/>
      <c r="C1051" s="469"/>
      <c r="D1051" s="456"/>
      <c r="E1051" s="457"/>
      <c r="F1051" s="458"/>
      <c r="G1051" s="459"/>
      <c r="H1051" s="460"/>
      <c r="I1051" s="460"/>
      <c r="J1051" s="460"/>
      <c r="K1051" s="517"/>
      <c r="L1051" s="460"/>
      <c r="M1051" s="461"/>
      <c r="N1051" s="461"/>
      <c r="O1051" s="470"/>
      <c r="P1051" s="568" t="str">
        <f>IF(LEFT(B1051,5)="09735",
    IF(ISNA(VLOOKUP(Tabla13[[#This Row],[Apoyo]],'LM SAP'!A:G,1,FALSE)),
        "No Disponible",
        IF(VLOOKUP(Tabla13[[#This Row],[Apoyo]],'LM SAP'!A:AD,9,FALSE)="RR",
            "Disponible",
            "Firmas SAP"
        )
    ),
    "CONSULTAR"
)</f>
        <v>CONSULTAR</v>
      </c>
      <c r="Q1051" s="460"/>
      <c r="S1051" s="460"/>
      <c r="T1051" s="465"/>
      <c r="X1051" s="466"/>
    </row>
    <row r="1052" spans="1:24" s="464" customFormat="1" ht="15" customHeight="1" x14ac:dyDescent="0.25">
      <c r="A1052" s="453"/>
      <c r="B1052" s="454"/>
      <c r="C1052" s="469"/>
      <c r="D1052" s="456"/>
      <c r="E1052" s="457"/>
      <c r="F1052" s="458"/>
      <c r="G1052" s="459"/>
      <c r="H1052" s="460"/>
      <c r="I1052" s="460"/>
      <c r="J1052" s="460"/>
      <c r="K1052" s="517"/>
      <c r="L1052" s="460"/>
      <c r="M1052" s="461"/>
      <c r="N1052" s="461"/>
      <c r="O1052" s="470"/>
      <c r="P1052" s="568" t="str">
        <f>IF(LEFT(B1052,5)="09735",
    IF(ISNA(VLOOKUP(Tabla13[[#This Row],[Apoyo]],'LM SAP'!A:G,1,FALSE)),
        "No Disponible",
        IF(VLOOKUP(Tabla13[[#This Row],[Apoyo]],'LM SAP'!A:AD,9,FALSE)="RR",
            "Disponible",
            "Firmas SAP"
        )
    ),
    "CONSULTAR"
)</f>
        <v>CONSULTAR</v>
      </c>
      <c r="Q1052" s="460"/>
      <c r="S1052" s="460"/>
      <c r="T1052" s="465"/>
      <c r="X1052" s="466"/>
    </row>
    <row r="1053" spans="1:24" s="464" customFormat="1" ht="15" customHeight="1" x14ac:dyDescent="0.25">
      <c r="A1053" s="453"/>
      <c r="B1053" s="454"/>
      <c r="C1053" s="469"/>
      <c r="D1053" s="456"/>
      <c r="E1053" s="457"/>
      <c r="F1053" s="458"/>
      <c r="G1053" s="459"/>
      <c r="H1053" s="460"/>
      <c r="I1053" s="460"/>
      <c r="J1053" s="460"/>
      <c r="K1053" s="517"/>
      <c r="L1053" s="460"/>
      <c r="M1053" s="461"/>
      <c r="N1053" s="461"/>
      <c r="O1053" s="470"/>
      <c r="P1053" s="568" t="str">
        <f>IF(LEFT(B1053,5)="09735",
    IF(ISNA(VLOOKUP(Tabla13[[#This Row],[Apoyo]],'LM SAP'!A:G,1,FALSE)),
        "No Disponible",
        IF(VLOOKUP(Tabla13[[#This Row],[Apoyo]],'LM SAP'!A:AD,9,FALSE)="RR",
            "Disponible",
            "Firmas SAP"
        )
    ),
    "CONSULTAR"
)</f>
        <v>CONSULTAR</v>
      </c>
      <c r="Q1053" s="460"/>
      <c r="S1053" s="460"/>
      <c r="T1053" s="465"/>
      <c r="X1053" s="466"/>
    </row>
    <row r="1054" spans="1:24" s="464" customFormat="1" ht="15" customHeight="1" x14ac:dyDescent="0.25">
      <c r="A1054" s="453"/>
      <c r="B1054" s="454"/>
      <c r="C1054" s="469"/>
      <c r="D1054" s="456"/>
      <c r="E1054" s="457"/>
      <c r="F1054" s="458"/>
      <c r="G1054" s="459"/>
      <c r="H1054" s="460"/>
      <c r="I1054" s="460"/>
      <c r="J1054" s="460"/>
      <c r="K1054" s="517"/>
      <c r="L1054" s="460"/>
      <c r="M1054" s="461"/>
      <c r="N1054" s="461"/>
      <c r="O1054" s="470"/>
      <c r="P1054" s="568" t="str">
        <f>IF(LEFT(B1054,5)="09735",
    IF(ISNA(VLOOKUP(Tabla13[[#This Row],[Apoyo]],'LM SAP'!A:G,1,FALSE)),
        "No Disponible",
        IF(VLOOKUP(Tabla13[[#This Row],[Apoyo]],'LM SAP'!A:AD,9,FALSE)="RR",
            "Disponible",
            "Firmas SAP"
        )
    ),
    "CONSULTAR"
)</f>
        <v>CONSULTAR</v>
      </c>
      <c r="Q1054" s="460"/>
      <c r="S1054" s="460"/>
      <c r="T1054" s="465"/>
      <c r="X1054" s="466"/>
    </row>
    <row r="1055" spans="1:24" s="464" customFormat="1" ht="15" customHeight="1" x14ac:dyDescent="0.25">
      <c r="A1055" s="453"/>
      <c r="B1055" s="454"/>
      <c r="C1055" s="469"/>
      <c r="D1055" s="456"/>
      <c r="E1055" s="457"/>
      <c r="F1055" s="458"/>
      <c r="G1055" s="459"/>
      <c r="H1055" s="460"/>
      <c r="I1055" s="460"/>
      <c r="J1055" s="460"/>
      <c r="K1055" s="517"/>
      <c r="L1055" s="460"/>
      <c r="M1055" s="461"/>
      <c r="N1055" s="461"/>
      <c r="O1055" s="470"/>
      <c r="P1055" s="568" t="str">
        <f>IF(LEFT(B1055,5)="09735",
    IF(ISNA(VLOOKUP(Tabla13[[#This Row],[Apoyo]],'LM SAP'!A:G,1,FALSE)),
        "No Disponible",
        IF(VLOOKUP(Tabla13[[#This Row],[Apoyo]],'LM SAP'!A:AD,9,FALSE)="RR",
            "Disponible",
            "Firmas SAP"
        )
    ),
    "CONSULTAR"
)</f>
        <v>CONSULTAR</v>
      </c>
      <c r="Q1055" s="460"/>
      <c r="S1055" s="460"/>
      <c r="T1055" s="465"/>
      <c r="X1055" s="466"/>
    </row>
    <row r="1056" spans="1:24" s="464" customFormat="1" ht="15" customHeight="1" x14ac:dyDescent="0.25">
      <c r="A1056" s="453"/>
      <c r="B1056" s="454"/>
      <c r="C1056" s="469"/>
      <c r="D1056" s="456"/>
      <c r="E1056" s="457"/>
      <c r="F1056" s="458"/>
      <c r="G1056" s="459"/>
      <c r="H1056" s="460"/>
      <c r="I1056" s="460"/>
      <c r="J1056" s="460"/>
      <c r="K1056" s="517"/>
      <c r="L1056" s="460"/>
      <c r="M1056" s="461"/>
      <c r="N1056" s="461"/>
      <c r="O1056" s="470"/>
      <c r="P1056" s="568" t="str">
        <f>IF(LEFT(B1056,5)="09735",
    IF(ISNA(VLOOKUP(Tabla13[[#This Row],[Apoyo]],'LM SAP'!A:G,1,FALSE)),
        "No Disponible",
        IF(VLOOKUP(Tabla13[[#This Row],[Apoyo]],'LM SAP'!A:AD,9,FALSE)="RR",
            "Disponible",
            "Firmas SAP"
        )
    ),
    "CONSULTAR"
)</f>
        <v>CONSULTAR</v>
      </c>
      <c r="Q1056" s="460"/>
      <c r="S1056" s="460"/>
      <c r="T1056" s="465"/>
      <c r="X1056" s="466"/>
    </row>
    <row r="1057" spans="1:24" s="464" customFormat="1" ht="15" customHeight="1" x14ac:dyDescent="0.25">
      <c r="A1057" s="453"/>
      <c r="B1057" s="454"/>
      <c r="C1057" s="469"/>
      <c r="D1057" s="456"/>
      <c r="E1057" s="457"/>
      <c r="F1057" s="458"/>
      <c r="G1057" s="459"/>
      <c r="H1057" s="460"/>
      <c r="I1057" s="460"/>
      <c r="J1057" s="460"/>
      <c r="K1057" s="517"/>
      <c r="L1057" s="460"/>
      <c r="M1057" s="461"/>
      <c r="N1057" s="461"/>
      <c r="O1057" s="470"/>
      <c r="P1057" s="568" t="str">
        <f>IF(LEFT(B1057,5)="09735",
    IF(ISNA(VLOOKUP(Tabla13[[#This Row],[Apoyo]],'LM SAP'!A:G,1,FALSE)),
        "No Disponible",
        IF(VLOOKUP(Tabla13[[#This Row],[Apoyo]],'LM SAP'!A:AD,9,FALSE)="RR",
            "Disponible",
            "Firmas SAP"
        )
    ),
    "CONSULTAR"
)</f>
        <v>CONSULTAR</v>
      </c>
      <c r="Q1057" s="460"/>
      <c r="S1057" s="460"/>
      <c r="T1057" s="465"/>
      <c r="X1057" s="466"/>
    </row>
    <row r="1058" spans="1:24" s="464" customFormat="1" ht="15" customHeight="1" x14ac:dyDescent="0.25">
      <c r="A1058" s="453"/>
      <c r="B1058" s="454"/>
      <c r="C1058" s="469"/>
      <c r="D1058" s="456"/>
      <c r="E1058" s="457"/>
      <c r="F1058" s="458"/>
      <c r="G1058" s="459"/>
      <c r="H1058" s="460"/>
      <c r="I1058" s="460"/>
      <c r="J1058" s="460"/>
      <c r="K1058" s="517"/>
      <c r="L1058" s="460"/>
      <c r="M1058" s="461"/>
      <c r="N1058" s="461"/>
      <c r="O1058" s="470"/>
      <c r="P1058" s="568" t="str">
        <f>IF(LEFT(B1058,5)="09735",
    IF(ISNA(VLOOKUP(Tabla13[[#This Row],[Apoyo]],'LM SAP'!A:G,1,FALSE)),
        "No Disponible",
        IF(VLOOKUP(Tabla13[[#This Row],[Apoyo]],'LM SAP'!A:AD,9,FALSE)="RR",
            "Disponible",
            "Firmas SAP"
        )
    ),
    "CONSULTAR"
)</f>
        <v>CONSULTAR</v>
      </c>
      <c r="Q1058" s="460"/>
      <c r="S1058" s="460"/>
      <c r="T1058" s="465"/>
      <c r="X1058" s="466"/>
    </row>
    <row r="1059" spans="1:24" s="464" customFormat="1" ht="15" customHeight="1" x14ac:dyDescent="0.25">
      <c r="A1059" s="453"/>
      <c r="B1059" s="454"/>
      <c r="C1059" s="469"/>
      <c r="D1059" s="456"/>
      <c r="E1059" s="457"/>
      <c r="F1059" s="458"/>
      <c r="G1059" s="459"/>
      <c r="H1059" s="460"/>
      <c r="I1059" s="460"/>
      <c r="J1059" s="460"/>
      <c r="K1059" s="517"/>
      <c r="L1059" s="460"/>
      <c r="M1059" s="461"/>
      <c r="N1059" s="461"/>
      <c r="O1059" s="470"/>
      <c r="P1059" s="568" t="str">
        <f>IF(LEFT(B1059,5)="09735",
    IF(ISNA(VLOOKUP(Tabla13[[#This Row],[Apoyo]],'LM SAP'!A:G,1,FALSE)),
        "No Disponible",
        IF(VLOOKUP(Tabla13[[#This Row],[Apoyo]],'LM SAP'!A:AD,9,FALSE)="RR",
            "Disponible",
            "Firmas SAP"
        )
    ),
    "CONSULTAR"
)</f>
        <v>CONSULTAR</v>
      </c>
      <c r="Q1059" s="460"/>
      <c r="S1059" s="460"/>
      <c r="T1059" s="465"/>
      <c r="X1059" s="466"/>
    </row>
    <row r="1060" spans="1:24" s="464" customFormat="1" ht="15" customHeight="1" x14ac:dyDescent="0.25">
      <c r="A1060" s="453"/>
      <c r="B1060" s="454"/>
      <c r="C1060" s="469"/>
      <c r="D1060" s="456"/>
      <c r="E1060" s="457"/>
      <c r="F1060" s="458"/>
      <c r="G1060" s="459"/>
      <c r="H1060" s="460"/>
      <c r="I1060" s="460"/>
      <c r="J1060" s="460"/>
      <c r="K1060" s="517"/>
      <c r="L1060" s="460"/>
      <c r="M1060" s="461"/>
      <c r="N1060" s="461"/>
      <c r="O1060" s="470"/>
      <c r="P1060" s="568" t="str">
        <f>IF(LEFT(B1060,5)="09735",
    IF(ISNA(VLOOKUP(Tabla13[[#This Row],[Apoyo]],'LM SAP'!A:G,1,FALSE)),
        "No Disponible",
        IF(VLOOKUP(Tabla13[[#This Row],[Apoyo]],'LM SAP'!A:AD,9,FALSE)="RR",
            "Disponible",
            "Firmas SAP"
        )
    ),
    "CONSULTAR"
)</f>
        <v>CONSULTAR</v>
      </c>
      <c r="Q1060" s="460"/>
      <c r="S1060" s="460"/>
      <c r="T1060" s="465"/>
      <c r="X1060" s="466"/>
    </row>
    <row r="1061" spans="1:24" s="464" customFormat="1" ht="15" customHeight="1" x14ac:dyDescent="0.25">
      <c r="A1061" s="453"/>
      <c r="B1061" s="454"/>
      <c r="C1061" s="469"/>
      <c r="D1061" s="456"/>
      <c r="E1061" s="457"/>
      <c r="F1061" s="458"/>
      <c r="G1061" s="459"/>
      <c r="H1061" s="460"/>
      <c r="I1061" s="460"/>
      <c r="J1061" s="460"/>
      <c r="K1061" s="517"/>
      <c r="L1061" s="460"/>
      <c r="M1061" s="461"/>
      <c r="N1061" s="461"/>
      <c r="O1061" s="470"/>
      <c r="P1061" s="568" t="str">
        <f>IF(LEFT(B1061,5)="09735",
    IF(ISNA(VLOOKUP(Tabla13[[#This Row],[Apoyo]],'LM SAP'!A:G,1,FALSE)),
        "No Disponible",
        IF(VLOOKUP(Tabla13[[#This Row],[Apoyo]],'LM SAP'!A:AD,9,FALSE)="RR",
            "Disponible",
            "Firmas SAP"
        )
    ),
    "CONSULTAR"
)</f>
        <v>CONSULTAR</v>
      </c>
      <c r="Q1061" s="460"/>
      <c r="S1061" s="460"/>
      <c r="T1061" s="465"/>
      <c r="X1061" s="466"/>
    </row>
    <row r="1062" spans="1:24" s="464" customFormat="1" ht="15" customHeight="1" x14ac:dyDescent="0.25">
      <c r="A1062" s="453"/>
      <c r="B1062" s="454"/>
      <c r="C1062" s="469"/>
      <c r="D1062" s="456"/>
      <c r="E1062" s="457"/>
      <c r="F1062" s="458"/>
      <c r="G1062" s="459"/>
      <c r="H1062" s="460"/>
      <c r="I1062" s="460"/>
      <c r="J1062" s="460"/>
      <c r="K1062" s="517"/>
      <c r="L1062" s="460"/>
      <c r="M1062" s="461"/>
      <c r="N1062" s="461"/>
      <c r="O1062" s="470"/>
      <c r="P1062" s="568" t="str">
        <f>IF(LEFT(B1062,5)="09735",
    IF(ISNA(VLOOKUP(Tabla13[[#This Row],[Apoyo]],'LM SAP'!A:G,1,FALSE)),
        "No Disponible",
        IF(VLOOKUP(Tabla13[[#This Row],[Apoyo]],'LM SAP'!A:AD,9,FALSE)="RR",
            "Disponible",
            "Firmas SAP"
        )
    ),
    "CONSULTAR"
)</f>
        <v>CONSULTAR</v>
      </c>
      <c r="Q1062" s="460"/>
      <c r="S1062" s="460"/>
      <c r="T1062" s="465"/>
      <c r="X1062" s="466"/>
    </row>
    <row r="1063" spans="1:24" s="464" customFormat="1" ht="15" customHeight="1" x14ac:dyDescent="0.25">
      <c r="A1063" s="453"/>
      <c r="B1063" s="454"/>
      <c r="C1063" s="469"/>
      <c r="D1063" s="456"/>
      <c r="E1063" s="457"/>
      <c r="F1063" s="458"/>
      <c r="G1063" s="459"/>
      <c r="H1063" s="460"/>
      <c r="I1063" s="460"/>
      <c r="J1063" s="460"/>
      <c r="K1063" s="517"/>
      <c r="L1063" s="460"/>
      <c r="M1063" s="461"/>
      <c r="N1063" s="461"/>
      <c r="O1063" s="470"/>
      <c r="P1063" s="568" t="str">
        <f>IF(LEFT(B1063,5)="09735",
    IF(ISNA(VLOOKUP(Tabla13[[#This Row],[Apoyo]],'LM SAP'!A:G,1,FALSE)),
        "No Disponible",
        IF(VLOOKUP(Tabla13[[#This Row],[Apoyo]],'LM SAP'!A:AD,9,FALSE)="RR",
            "Disponible",
            "Firmas SAP"
        )
    ),
    "CONSULTAR"
)</f>
        <v>CONSULTAR</v>
      </c>
      <c r="Q1063" s="460"/>
      <c r="S1063" s="460"/>
      <c r="T1063" s="465"/>
      <c r="X1063" s="466"/>
    </row>
    <row r="1064" spans="1:24" s="464" customFormat="1" ht="15" customHeight="1" x14ac:dyDescent="0.25">
      <c r="A1064" s="453"/>
      <c r="B1064" s="454"/>
      <c r="C1064" s="469"/>
      <c r="D1064" s="456"/>
      <c r="E1064" s="457"/>
      <c r="F1064" s="458"/>
      <c r="G1064" s="459"/>
      <c r="H1064" s="460"/>
      <c r="I1064" s="460"/>
      <c r="J1064" s="460"/>
      <c r="K1064" s="517"/>
      <c r="L1064" s="460"/>
      <c r="M1064" s="461"/>
      <c r="N1064" s="461"/>
      <c r="O1064" s="470"/>
      <c r="P1064" s="568" t="str">
        <f>IF(LEFT(B1064,5)="09735",
    IF(ISNA(VLOOKUP(Tabla13[[#This Row],[Apoyo]],'LM SAP'!A:G,1,FALSE)),
        "No Disponible",
        IF(VLOOKUP(Tabla13[[#This Row],[Apoyo]],'LM SAP'!A:AD,9,FALSE)="RR",
            "Disponible",
            "Firmas SAP"
        )
    ),
    "CONSULTAR"
)</f>
        <v>CONSULTAR</v>
      </c>
      <c r="Q1064" s="460"/>
      <c r="S1064" s="460"/>
      <c r="T1064" s="465"/>
      <c r="X1064" s="466"/>
    </row>
    <row r="1065" spans="1:24" s="464" customFormat="1" ht="15" customHeight="1" x14ac:dyDescent="0.25">
      <c r="A1065" s="453"/>
      <c r="B1065" s="454"/>
      <c r="C1065" s="469"/>
      <c r="D1065" s="456"/>
      <c r="E1065" s="457"/>
      <c r="F1065" s="458"/>
      <c r="G1065" s="459"/>
      <c r="H1065" s="460"/>
      <c r="I1065" s="460"/>
      <c r="J1065" s="460"/>
      <c r="K1065" s="517"/>
      <c r="L1065" s="460"/>
      <c r="M1065" s="461"/>
      <c r="N1065" s="461"/>
      <c r="O1065" s="470"/>
      <c r="P1065" s="568" t="str">
        <f>IF(LEFT(B1065,5)="09735",
    IF(ISNA(VLOOKUP(Tabla13[[#This Row],[Apoyo]],'LM SAP'!A:G,1,FALSE)),
        "No Disponible",
        IF(VLOOKUP(Tabla13[[#This Row],[Apoyo]],'LM SAP'!A:AD,9,FALSE)="RR",
            "Disponible",
            "Firmas SAP"
        )
    ),
    "CONSULTAR"
)</f>
        <v>CONSULTAR</v>
      </c>
      <c r="Q1065" s="460"/>
      <c r="S1065" s="460"/>
      <c r="T1065" s="465"/>
      <c r="X1065" s="466"/>
    </row>
    <row r="1066" spans="1:24" s="464" customFormat="1" ht="15" customHeight="1" x14ac:dyDescent="0.25">
      <c r="A1066" s="453"/>
      <c r="B1066" s="454"/>
      <c r="C1066" s="469"/>
      <c r="D1066" s="456"/>
      <c r="E1066" s="457"/>
      <c r="F1066" s="458"/>
      <c r="G1066" s="459"/>
      <c r="H1066" s="460"/>
      <c r="I1066" s="460"/>
      <c r="J1066" s="460"/>
      <c r="K1066" s="517"/>
      <c r="L1066" s="460"/>
      <c r="M1066" s="461"/>
      <c r="N1066" s="461"/>
      <c r="O1066" s="470"/>
      <c r="P1066" s="568" t="str">
        <f>IF(LEFT(B1066,5)="09735",
    IF(ISNA(VLOOKUP(Tabla13[[#This Row],[Apoyo]],'LM SAP'!A:G,1,FALSE)),
        "No Disponible",
        IF(VLOOKUP(Tabla13[[#This Row],[Apoyo]],'LM SAP'!A:AD,9,FALSE)="RR",
            "Disponible",
            "Firmas SAP"
        )
    ),
    "CONSULTAR"
)</f>
        <v>CONSULTAR</v>
      </c>
      <c r="Q1066" s="460"/>
      <c r="S1066" s="460"/>
      <c r="T1066" s="465"/>
      <c r="X1066" s="466"/>
    </row>
    <row r="1067" spans="1:24" s="464" customFormat="1" ht="15" customHeight="1" x14ac:dyDescent="0.25">
      <c r="A1067" s="453"/>
      <c r="B1067" s="454"/>
      <c r="C1067" s="469"/>
      <c r="D1067" s="456"/>
      <c r="E1067" s="457"/>
      <c r="F1067" s="458"/>
      <c r="G1067" s="459"/>
      <c r="H1067" s="460"/>
      <c r="I1067" s="460"/>
      <c r="J1067" s="460"/>
      <c r="K1067" s="517"/>
      <c r="L1067" s="460"/>
      <c r="M1067" s="461"/>
      <c r="N1067" s="461"/>
      <c r="O1067" s="470"/>
      <c r="P1067" s="568" t="str">
        <f>IF(LEFT(B1067,5)="09735",
    IF(ISNA(VLOOKUP(Tabla13[[#This Row],[Apoyo]],'LM SAP'!A:G,1,FALSE)),
        "No Disponible",
        IF(VLOOKUP(Tabla13[[#This Row],[Apoyo]],'LM SAP'!A:AD,9,FALSE)="RR",
            "Disponible",
            "Firmas SAP"
        )
    ),
    "CONSULTAR"
)</f>
        <v>CONSULTAR</v>
      </c>
      <c r="Q1067" s="460"/>
      <c r="S1067" s="460"/>
      <c r="T1067" s="465"/>
      <c r="X1067" s="466"/>
    </row>
    <row r="1068" spans="1:24" s="464" customFormat="1" ht="15" customHeight="1" x14ac:dyDescent="0.25">
      <c r="A1068" s="453"/>
      <c r="B1068" s="454"/>
      <c r="C1068" s="469"/>
      <c r="D1068" s="456"/>
      <c r="E1068" s="457"/>
      <c r="F1068" s="458"/>
      <c r="G1068" s="459"/>
      <c r="H1068" s="460"/>
      <c r="I1068" s="460"/>
      <c r="J1068" s="460"/>
      <c r="K1068" s="517"/>
      <c r="L1068" s="460"/>
      <c r="M1068" s="461"/>
      <c r="N1068" s="461"/>
      <c r="O1068" s="470"/>
      <c r="P1068" s="568" t="str">
        <f>IF(LEFT(B1068,5)="09735",
    IF(ISNA(VLOOKUP(Tabla13[[#This Row],[Apoyo]],'LM SAP'!A:G,1,FALSE)),
        "No Disponible",
        IF(VLOOKUP(Tabla13[[#This Row],[Apoyo]],'LM SAP'!A:AD,9,FALSE)="RR",
            "Disponible",
            "Firmas SAP"
        )
    ),
    "CONSULTAR"
)</f>
        <v>CONSULTAR</v>
      </c>
      <c r="Q1068" s="460"/>
      <c r="S1068" s="460"/>
      <c r="T1068" s="465"/>
      <c r="X1068" s="466"/>
    </row>
    <row r="1069" spans="1:24" s="464" customFormat="1" ht="15" customHeight="1" x14ac:dyDescent="0.25">
      <c r="A1069" s="453"/>
      <c r="B1069" s="454"/>
      <c r="C1069" s="469"/>
      <c r="D1069" s="456"/>
      <c r="E1069" s="457"/>
      <c r="F1069" s="458"/>
      <c r="G1069" s="459"/>
      <c r="H1069" s="460"/>
      <c r="I1069" s="460"/>
      <c r="J1069" s="460"/>
      <c r="K1069" s="517"/>
      <c r="L1069" s="460"/>
      <c r="M1069" s="461"/>
      <c r="N1069" s="461"/>
      <c r="O1069" s="470"/>
      <c r="P1069" s="568" t="str">
        <f>IF(LEFT(B1069,5)="09735",
    IF(ISNA(VLOOKUP(Tabla13[[#This Row],[Apoyo]],'LM SAP'!A:G,1,FALSE)),
        "No Disponible",
        IF(VLOOKUP(Tabla13[[#This Row],[Apoyo]],'LM SAP'!A:AD,9,FALSE)="RR",
            "Disponible",
            "Firmas SAP"
        )
    ),
    "CONSULTAR"
)</f>
        <v>CONSULTAR</v>
      </c>
      <c r="Q1069" s="460"/>
      <c r="S1069" s="460"/>
      <c r="T1069" s="465"/>
      <c r="X1069" s="466"/>
    </row>
    <row r="1070" spans="1:24" s="464" customFormat="1" ht="15" customHeight="1" x14ac:dyDescent="0.25">
      <c r="A1070" s="453"/>
      <c r="B1070" s="454"/>
      <c r="C1070" s="469"/>
      <c r="D1070" s="456"/>
      <c r="E1070" s="457"/>
      <c r="F1070" s="458"/>
      <c r="G1070" s="459"/>
      <c r="H1070" s="460"/>
      <c r="I1070" s="460"/>
      <c r="J1070" s="460"/>
      <c r="K1070" s="517"/>
      <c r="L1070" s="460"/>
      <c r="M1070" s="461"/>
      <c r="N1070" s="461"/>
      <c r="O1070" s="470"/>
      <c r="P1070" s="568" t="str">
        <f>IF(LEFT(B1070,5)="09735",
    IF(ISNA(VLOOKUP(Tabla13[[#This Row],[Apoyo]],'LM SAP'!A:G,1,FALSE)),
        "No Disponible",
        IF(VLOOKUP(Tabla13[[#This Row],[Apoyo]],'LM SAP'!A:AD,9,FALSE)="RR",
            "Disponible",
            "Firmas SAP"
        )
    ),
    "CONSULTAR"
)</f>
        <v>CONSULTAR</v>
      </c>
      <c r="Q1070" s="460"/>
      <c r="S1070" s="460"/>
      <c r="T1070" s="465"/>
      <c r="X1070" s="466"/>
    </row>
    <row r="1071" spans="1:24" s="464" customFormat="1" ht="15" customHeight="1" x14ac:dyDescent="0.25">
      <c r="A1071" s="453"/>
      <c r="B1071" s="454"/>
      <c r="C1071" s="469"/>
      <c r="D1071" s="456"/>
      <c r="E1071" s="457"/>
      <c r="F1071" s="458"/>
      <c r="G1071" s="459"/>
      <c r="H1071" s="460"/>
      <c r="I1071" s="460"/>
      <c r="J1071" s="460"/>
      <c r="K1071" s="517"/>
      <c r="L1071" s="460"/>
      <c r="M1071" s="461"/>
      <c r="N1071" s="461"/>
      <c r="O1071" s="470"/>
      <c r="P1071" s="568" t="str">
        <f>IF(LEFT(B1071,5)="09735",
    IF(ISNA(VLOOKUP(Tabla13[[#This Row],[Apoyo]],'LM SAP'!A:G,1,FALSE)),
        "No Disponible",
        IF(VLOOKUP(Tabla13[[#This Row],[Apoyo]],'LM SAP'!A:AD,9,FALSE)="RR",
            "Disponible",
            "Firmas SAP"
        )
    ),
    "CONSULTAR"
)</f>
        <v>CONSULTAR</v>
      </c>
      <c r="Q1071" s="460"/>
      <c r="S1071" s="460"/>
      <c r="T1071" s="465"/>
      <c r="X1071" s="466"/>
    </row>
    <row r="1072" spans="1:24" s="464" customFormat="1" ht="15" customHeight="1" x14ac:dyDescent="0.25">
      <c r="A1072" s="453"/>
      <c r="B1072" s="454"/>
      <c r="C1072" s="469"/>
      <c r="D1072" s="456"/>
      <c r="E1072" s="457"/>
      <c r="F1072" s="458"/>
      <c r="G1072" s="459"/>
      <c r="H1072" s="460"/>
      <c r="I1072" s="460"/>
      <c r="J1072" s="460"/>
      <c r="K1072" s="517"/>
      <c r="L1072" s="460"/>
      <c r="M1072" s="461"/>
      <c r="N1072" s="461"/>
      <c r="O1072" s="470"/>
      <c r="P1072" s="568" t="str">
        <f>IF(LEFT(B1072,5)="09735",
    IF(ISNA(VLOOKUP(Tabla13[[#This Row],[Apoyo]],'LM SAP'!A:G,1,FALSE)),
        "No Disponible",
        IF(VLOOKUP(Tabla13[[#This Row],[Apoyo]],'LM SAP'!A:AD,9,FALSE)="RR",
            "Disponible",
            "Firmas SAP"
        )
    ),
    "CONSULTAR"
)</f>
        <v>CONSULTAR</v>
      </c>
      <c r="Q1072" s="460"/>
      <c r="S1072" s="460"/>
      <c r="T1072" s="465"/>
      <c r="X1072" s="466"/>
    </row>
    <row r="1073" spans="1:24" s="464" customFormat="1" ht="15" customHeight="1" x14ac:dyDescent="0.25">
      <c r="A1073" s="453"/>
      <c r="B1073" s="454"/>
      <c r="C1073" s="469"/>
      <c r="D1073" s="456"/>
      <c r="E1073" s="457"/>
      <c r="F1073" s="458"/>
      <c r="G1073" s="459"/>
      <c r="H1073" s="460"/>
      <c r="I1073" s="460"/>
      <c r="J1073" s="460"/>
      <c r="K1073" s="517"/>
      <c r="L1073" s="460"/>
      <c r="M1073" s="461"/>
      <c r="N1073" s="461"/>
      <c r="O1073" s="470"/>
      <c r="P1073" s="568" t="str">
        <f>IF(LEFT(B1073,5)="09735",
    IF(ISNA(VLOOKUP(Tabla13[[#This Row],[Apoyo]],'LM SAP'!A:G,1,FALSE)),
        "No Disponible",
        IF(VLOOKUP(Tabla13[[#This Row],[Apoyo]],'LM SAP'!A:AD,9,FALSE)="RR",
            "Disponible",
            "Firmas SAP"
        )
    ),
    "CONSULTAR"
)</f>
        <v>CONSULTAR</v>
      </c>
      <c r="Q1073" s="460"/>
      <c r="S1073" s="460"/>
      <c r="T1073" s="465"/>
      <c r="X1073" s="466"/>
    </row>
    <row r="1074" spans="1:24" s="464" customFormat="1" ht="15" customHeight="1" x14ac:dyDescent="0.25">
      <c r="A1074" s="453"/>
      <c r="B1074" s="454"/>
      <c r="C1074" s="469"/>
      <c r="D1074" s="456"/>
      <c r="E1074" s="457"/>
      <c r="F1074" s="458"/>
      <c r="G1074" s="459"/>
      <c r="H1074" s="460"/>
      <c r="I1074" s="460"/>
      <c r="J1074" s="460"/>
      <c r="K1074" s="517"/>
      <c r="L1074" s="460"/>
      <c r="M1074" s="461"/>
      <c r="N1074" s="461"/>
      <c r="O1074" s="470"/>
      <c r="P1074" s="568" t="str">
        <f>IF(LEFT(B1074,5)="09735",
    IF(ISNA(VLOOKUP(Tabla13[[#This Row],[Apoyo]],'LM SAP'!A:G,1,FALSE)),
        "No Disponible",
        IF(VLOOKUP(Tabla13[[#This Row],[Apoyo]],'LM SAP'!A:AD,9,FALSE)="RR",
            "Disponible",
            "Firmas SAP"
        )
    ),
    "CONSULTAR"
)</f>
        <v>CONSULTAR</v>
      </c>
      <c r="Q1074" s="460"/>
      <c r="S1074" s="460"/>
      <c r="T1074" s="465"/>
      <c r="X1074" s="466"/>
    </row>
    <row r="1075" spans="1:24" s="464" customFormat="1" ht="15" customHeight="1" x14ac:dyDescent="0.25">
      <c r="A1075" s="453"/>
      <c r="B1075" s="454"/>
      <c r="C1075" s="469"/>
      <c r="D1075" s="456"/>
      <c r="E1075" s="457"/>
      <c r="F1075" s="458"/>
      <c r="G1075" s="459"/>
      <c r="H1075" s="460"/>
      <c r="I1075" s="460"/>
      <c r="J1075" s="460"/>
      <c r="K1075" s="517"/>
      <c r="L1075" s="460"/>
      <c r="M1075" s="461"/>
      <c r="N1075" s="461"/>
      <c r="O1075" s="470"/>
      <c r="P1075" s="568" t="str">
        <f>IF(LEFT(B1075,5)="09735",
    IF(ISNA(VLOOKUP(Tabla13[[#This Row],[Apoyo]],'LM SAP'!A:G,1,FALSE)),
        "No Disponible",
        IF(VLOOKUP(Tabla13[[#This Row],[Apoyo]],'LM SAP'!A:AD,9,FALSE)="RR",
            "Disponible",
            "Firmas SAP"
        )
    ),
    "CONSULTAR"
)</f>
        <v>CONSULTAR</v>
      </c>
      <c r="Q1075" s="460"/>
      <c r="S1075" s="460"/>
      <c r="T1075" s="465"/>
      <c r="X1075" s="466"/>
    </row>
    <row r="1076" spans="1:24" s="464" customFormat="1" ht="15" customHeight="1" x14ac:dyDescent="0.25">
      <c r="A1076" s="453"/>
      <c r="B1076" s="454"/>
      <c r="C1076" s="469"/>
      <c r="D1076" s="456"/>
      <c r="E1076" s="457"/>
      <c r="F1076" s="458"/>
      <c r="G1076" s="459"/>
      <c r="H1076" s="460"/>
      <c r="I1076" s="460"/>
      <c r="J1076" s="460"/>
      <c r="K1076" s="517"/>
      <c r="L1076" s="460"/>
      <c r="M1076" s="461"/>
      <c r="N1076" s="461"/>
      <c r="O1076" s="470"/>
      <c r="P1076" s="568" t="str">
        <f>IF(LEFT(B1076,5)="09735",
    IF(ISNA(VLOOKUP(Tabla13[[#This Row],[Apoyo]],'LM SAP'!A:G,1,FALSE)),
        "No Disponible",
        IF(VLOOKUP(Tabla13[[#This Row],[Apoyo]],'LM SAP'!A:AD,9,FALSE)="RR",
            "Disponible",
            "Firmas SAP"
        )
    ),
    "CONSULTAR"
)</f>
        <v>CONSULTAR</v>
      </c>
      <c r="Q1076" s="460"/>
      <c r="S1076" s="460"/>
      <c r="T1076" s="465"/>
      <c r="X1076" s="466"/>
    </row>
    <row r="1077" spans="1:24" s="464" customFormat="1" ht="15" customHeight="1" x14ac:dyDescent="0.25">
      <c r="A1077" s="453"/>
      <c r="B1077" s="454"/>
      <c r="C1077" s="469"/>
      <c r="D1077" s="456"/>
      <c r="E1077" s="457"/>
      <c r="F1077" s="458"/>
      <c r="G1077" s="459"/>
      <c r="H1077" s="460"/>
      <c r="I1077" s="460"/>
      <c r="J1077" s="460"/>
      <c r="K1077" s="517"/>
      <c r="L1077" s="460"/>
      <c r="M1077" s="461"/>
      <c r="N1077" s="461"/>
      <c r="O1077" s="470"/>
      <c r="P1077" s="568" t="str">
        <f>IF(LEFT(B1077,5)="09735",
    IF(ISNA(VLOOKUP(Tabla13[[#This Row],[Apoyo]],'LM SAP'!A:G,1,FALSE)),
        "No Disponible",
        IF(VLOOKUP(Tabla13[[#This Row],[Apoyo]],'LM SAP'!A:AD,9,FALSE)="RR",
            "Disponible",
            "Firmas SAP"
        )
    ),
    "CONSULTAR"
)</f>
        <v>CONSULTAR</v>
      </c>
      <c r="Q1077" s="460"/>
      <c r="S1077" s="460"/>
      <c r="T1077" s="465"/>
      <c r="X1077" s="466"/>
    </row>
    <row r="1078" spans="1:24" s="464" customFormat="1" ht="15" customHeight="1" x14ac:dyDescent="0.25">
      <c r="A1078" s="453"/>
      <c r="B1078" s="454"/>
      <c r="C1078" s="469"/>
      <c r="D1078" s="456"/>
      <c r="E1078" s="457"/>
      <c r="F1078" s="458"/>
      <c r="G1078" s="459"/>
      <c r="H1078" s="460"/>
      <c r="I1078" s="460"/>
      <c r="J1078" s="460"/>
      <c r="K1078" s="517"/>
      <c r="L1078" s="460"/>
      <c r="M1078" s="461"/>
      <c r="N1078" s="461"/>
      <c r="O1078" s="470"/>
      <c r="P1078" s="568" t="str">
        <f>IF(LEFT(B1078,5)="09735",
    IF(ISNA(VLOOKUP(Tabla13[[#This Row],[Apoyo]],'LM SAP'!A:G,1,FALSE)),
        "No Disponible",
        IF(VLOOKUP(Tabla13[[#This Row],[Apoyo]],'LM SAP'!A:AD,9,FALSE)="RR",
            "Disponible",
            "Firmas SAP"
        )
    ),
    "CONSULTAR"
)</f>
        <v>CONSULTAR</v>
      </c>
      <c r="Q1078" s="460"/>
      <c r="S1078" s="460"/>
      <c r="T1078" s="465"/>
      <c r="X1078" s="466"/>
    </row>
    <row r="1079" spans="1:24" s="464" customFormat="1" ht="15" customHeight="1" x14ac:dyDescent="0.25">
      <c r="A1079" s="453"/>
      <c r="B1079" s="454"/>
      <c r="C1079" s="469"/>
      <c r="D1079" s="456"/>
      <c r="E1079" s="457"/>
      <c r="F1079" s="458"/>
      <c r="G1079" s="459"/>
      <c r="H1079" s="460"/>
      <c r="I1079" s="460"/>
      <c r="J1079" s="460"/>
      <c r="K1079" s="517"/>
      <c r="L1079" s="460"/>
      <c r="M1079" s="461"/>
      <c r="N1079" s="461"/>
      <c r="O1079" s="470"/>
      <c r="P1079" s="568" t="str">
        <f>IF(LEFT(B1079,5)="09735",
    IF(ISNA(VLOOKUP(Tabla13[[#This Row],[Apoyo]],'LM SAP'!A:G,1,FALSE)),
        "No Disponible",
        IF(VLOOKUP(Tabla13[[#This Row],[Apoyo]],'LM SAP'!A:AD,9,FALSE)="RR",
            "Disponible",
            "Firmas SAP"
        )
    ),
    "CONSULTAR"
)</f>
        <v>CONSULTAR</v>
      </c>
      <c r="Q1079" s="460"/>
      <c r="S1079" s="460"/>
      <c r="T1079" s="465"/>
      <c r="X1079" s="466"/>
    </row>
    <row r="1080" spans="1:24" s="464" customFormat="1" ht="15" customHeight="1" x14ac:dyDescent="0.25">
      <c r="A1080" s="453"/>
      <c r="B1080" s="454"/>
      <c r="C1080" s="469"/>
      <c r="D1080" s="456"/>
      <c r="E1080" s="457"/>
      <c r="F1080" s="458"/>
      <c r="G1080" s="459"/>
      <c r="H1080" s="460"/>
      <c r="I1080" s="460"/>
      <c r="J1080" s="460"/>
      <c r="K1080" s="517"/>
      <c r="L1080" s="460"/>
      <c r="M1080" s="461"/>
      <c r="N1080" s="461"/>
      <c r="O1080" s="470"/>
      <c r="P1080" s="568" t="str">
        <f>IF(LEFT(B1080,5)="09735",
    IF(ISNA(VLOOKUP(Tabla13[[#This Row],[Apoyo]],'LM SAP'!A:G,1,FALSE)),
        "No Disponible",
        IF(VLOOKUP(Tabla13[[#This Row],[Apoyo]],'LM SAP'!A:AD,9,FALSE)="RR",
            "Disponible",
            "Firmas SAP"
        )
    ),
    "CONSULTAR"
)</f>
        <v>CONSULTAR</v>
      </c>
      <c r="Q1080" s="460"/>
      <c r="S1080" s="460"/>
      <c r="T1080" s="465"/>
      <c r="X1080" s="466"/>
    </row>
    <row r="1081" spans="1:24" s="464" customFormat="1" ht="15" customHeight="1" x14ac:dyDescent="0.25">
      <c r="A1081" s="453"/>
      <c r="B1081" s="454"/>
      <c r="C1081" s="469"/>
      <c r="D1081" s="456"/>
      <c r="E1081" s="457"/>
      <c r="F1081" s="458"/>
      <c r="G1081" s="459"/>
      <c r="H1081" s="460"/>
      <c r="I1081" s="460"/>
      <c r="J1081" s="460"/>
      <c r="K1081" s="517"/>
      <c r="L1081" s="460"/>
      <c r="M1081" s="461"/>
      <c r="N1081" s="461"/>
      <c r="O1081" s="470"/>
      <c r="P1081" s="568" t="str">
        <f>IF(LEFT(B1081,5)="09735",
    IF(ISNA(VLOOKUP(Tabla13[[#This Row],[Apoyo]],'LM SAP'!A:G,1,FALSE)),
        "No Disponible",
        IF(VLOOKUP(Tabla13[[#This Row],[Apoyo]],'LM SAP'!A:AD,9,FALSE)="RR",
            "Disponible",
            "Firmas SAP"
        )
    ),
    "CONSULTAR"
)</f>
        <v>CONSULTAR</v>
      </c>
      <c r="Q1081" s="460"/>
      <c r="S1081" s="460"/>
      <c r="T1081" s="465"/>
      <c r="X1081" s="466"/>
    </row>
    <row r="1082" spans="1:24" s="464" customFormat="1" ht="15" customHeight="1" x14ac:dyDescent="0.25">
      <c r="A1082" s="453"/>
      <c r="B1082" s="454"/>
      <c r="C1082" s="469"/>
      <c r="D1082" s="456"/>
      <c r="E1082" s="457"/>
      <c r="F1082" s="458"/>
      <c r="G1082" s="459"/>
      <c r="H1082" s="460"/>
      <c r="I1082" s="460"/>
      <c r="J1082" s="460"/>
      <c r="K1082" s="517"/>
      <c r="L1082" s="460"/>
      <c r="M1082" s="461"/>
      <c r="N1082" s="461"/>
      <c r="O1082" s="470"/>
      <c r="P1082" s="568" t="str">
        <f>IF(LEFT(B1082,5)="09735",
    IF(ISNA(VLOOKUP(Tabla13[[#This Row],[Apoyo]],'LM SAP'!A:G,1,FALSE)),
        "No Disponible",
        IF(VLOOKUP(Tabla13[[#This Row],[Apoyo]],'LM SAP'!A:AD,9,FALSE)="RR",
            "Disponible",
            "Firmas SAP"
        )
    ),
    "CONSULTAR"
)</f>
        <v>CONSULTAR</v>
      </c>
      <c r="Q1082" s="460"/>
      <c r="S1082" s="460"/>
      <c r="T1082" s="465"/>
      <c r="X1082" s="466"/>
    </row>
    <row r="1083" spans="1:24" s="464" customFormat="1" ht="15" customHeight="1" x14ac:dyDescent="0.25">
      <c r="A1083" s="453"/>
      <c r="B1083" s="454"/>
      <c r="C1083" s="469"/>
      <c r="D1083" s="456"/>
      <c r="E1083" s="457"/>
      <c r="F1083" s="458"/>
      <c r="G1083" s="459"/>
      <c r="H1083" s="460"/>
      <c r="I1083" s="460"/>
      <c r="J1083" s="460"/>
      <c r="K1083" s="517"/>
      <c r="L1083" s="460"/>
      <c r="M1083" s="461"/>
      <c r="N1083" s="461"/>
      <c r="O1083" s="470"/>
      <c r="P1083" s="568" t="str">
        <f>IF(LEFT(B1083,5)="09735",
    IF(ISNA(VLOOKUP(Tabla13[[#This Row],[Apoyo]],'LM SAP'!A:G,1,FALSE)),
        "No Disponible",
        IF(VLOOKUP(Tabla13[[#This Row],[Apoyo]],'LM SAP'!A:AD,9,FALSE)="RR",
            "Disponible",
            "Firmas SAP"
        )
    ),
    "CONSULTAR"
)</f>
        <v>CONSULTAR</v>
      </c>
      <c r="Q1083" s="460"/>
      <c r="S1083" s="460"/>
      <c r="T1083" s="465"/>
      <c r="X1083" s="466"/>
    </row>
    <row r="1084" spans="1:24" s="464" customFormat="1" ht="15" customHeight="1" x14ac:dyDescent="0.25">
      <c r="A1084" s="453"/>
      <c r="B1084" s="454"/>
      <c r="C1084" s="469"/>
      <c r="D1084" s="456"/>
      <c r="E1084" s="457"/>
      <c r="F1084" s="458"/>
      <c r="G1084" s="459"/>
      <c r="H1084" s="460"/>
      <c r="I1084" s="460"/>
      <c r="J1084" s="460"/>
      <c r="K1084" s="517"/>
      <c r="L1084" s="460"/>
      <c r="M1084" s="461"/>
      <c r="N1084" s="461"/>
      <c r="O1084" s="470"/>
      <c r="P1084" s="568" t="str">
        <f>IF(LEFT(B1084,5)="09735",
    IF(ISNA(VLOOKUP(Tabla13[[#This Row],[Apoyo]],'LM SAP'!A:G,1,FALSE)),
        "No Disponible",
        IF(VLOOKUP(Tabla13[[#This Row],[Apoyo]],'LM SAP'!A:AD,9,FALSE)="RR",
            "Disponible",
            "Firmas SAP"
        )
    ),
    "CONSULTAR"
)</f>
        <v>CONSULTAR</v>
      </c>
      <c r="Q1084" s="460"/>
      <c r="S1084" s="460"/>
      <c r="T1084" s="465"/>
      <c r="X1084" s="466"/>
    </row>
    <row r="1085" spans="1:24" s="464" customFormat="1" ht="15" customHeight="1" x14ac:dyDescent="0.25">
      <c r="A1085" s="453"/>
      <c r="B1085" s="454"/>
      <c r="C1085" s="469"/>
      <c r="D1085" s="456"/>
      <c r="E1085" s="457"/>
      <c r="F1085" s="458"/>
      <c r="G1085" s="459"/>
      <c r="H1085" s="460"/>
      <c r="I1085" s="460"/>
      <c r="J1085" s="460"/>
      <c r="K1085" s="517"/>
      <c r="L1085" s="460"/>
      <c r="M1085" s="461"/>
      <c r="N1085" s="461"/>
      <c r="O1085" s="470"/>
      <c r="P1085" s="568" t="str">
        <f>IF(LEFT(B1085,5)="09735",
    IF(ISNA(VLOOKUP(Tabla13[[#This Row],[Apoyo]],'LM SAP'!A:G,1,FALSE)),
        "No Disponible",
        IF(VLOOKUP(Tabla13[[#This Row],[Apoyo]],'LM SAP'!A:AD,9,FALSE)="RR",
            "Disponible",
            "Firmas SAP"
        )
    ),
    "CONSULTAR"
)</f>
        <v>CONSULTAR</v>
      </c>
      <c r="Q1085" s="460"/>
      <c r="S1085" s="460"/>
      <c r="T1085" s="465"/>
      <c r="X1085" s="466"/>
    </row>
    <row r="1086" spans="1:24" s="464" customFormat="1" ht="15" customHeight="1" x14ac:dyDescent="0.25">
      <c r="A1086" s="453"/>
      <c r="B1086" s="454"/>
      <c r="C1086" s="469"/>
      <c r="D1086" s="456"/>
      <c r="E1086" s="457"/>
      <c r="F1086" s="458"/>
      <c r="G1086" s="459"/>
      <c r="H1086" s="460"/>
      <c r="I1086" s="460"/>
      <c r="J1086" s="460"/>
      <c r="K1086" s="517"/>
      <c r="L1086" s="460"/>
      <c r="M1086" s="461"/>
      <c r="N1086" s="461"/>
      <c r="O1086" s="470"/>
      <c r="P1086" s="568" t="str">
        <f>IF(LEFT(B1086,5)="09735",
    IF(ISNA(VLOOKUP(Tabla13[[#This Row],[Apoyo]],'LM SAP'!A:G,1,FALSE)),
        "No Disponible",
        IF(VLOOKUP(Tabla13[[#This Row],[Apoyo]],'LM SAP'!A:AD,9,FALSE)="RR",
            "Disponible",
            "Firmas SAP"
        )
    ),
    "CONSULTAR"
)</f>
        <v>CONSULTAR</v>
      </c>
      <c r="Q1086" s="460"/>
      <c r="S1086" s="460"/>
      <c r="T1086" s="465"/>
      <c r="X1086" s="466"/>
    </row>
    <row r="1087" spans="1:24" s="464" customFormat="1" ht="15" customHeight="1" x14ac:dyDescent="0.25">
      <c r="A1087" s="453"/>
      <c r="B1087" s="454"/>
      <c r="C1087" s="469"/>
      <c r="D1087" s="456"/>
      <c r="E1087" s="457"/>
      <c r="F1087" s="458"/>
      <c r="G1087" s="459"/>
      <c r="H1087" s="460"/>
      <c r="I1087" s="460"/>
      <c r="J1087" s="460"/>
      <c r="K1087" s="517"/>
      <c r="L1087" s="460"/>
      <c r="M1087" s="461"/>
      <c r="N1087" s="461"/>
      <c r="O1087" s="470"/>
      <c r="P1087" s="568" t="str">
        <f>IF(LEFT(B1087,5)="09735",
    IF(ISNA(VLOOKUP(Tabla13[[#This Row],[Apoyo]],'LM SAP'!A:G,1,FALSE)),
        "No Disponible",
        IF(VLOOKUP(Tabla13[[#This Row],[Apoyo]],'LM SAP'!A:AD,9,FALSE)="RR",
            "Disponible",
            "Firmas SAP"
        )
    ),
    "CONSULTAR"
)</f>
        <v>CONSULTAR</v>
      </c>
      <c r="Q1087" s="460"/>
      <c r="S1087" s="460"/>
      <c r="T1087" s="465"/>
      <c r="X1087" s="466"/>
    </row>
    <row r="1088" spans="1:24" s="464" customFormat="1" ht="15" customHeight="1" x14ac:dyDescent="0.25">
      <c r="A1088" s="453"/>
      <c r="B1088" s="454"/>
      <c r="C1088" s="469"/>
      <c r="D1088" s="456"/>
      <c r="E1088" s="457"/>
      <c r="F1088" s="458"/>
      <c r="G1088" s="459"/>
      <c r="H1088" s="460"/>
      <c r="I1088" s="460"/>
      <c r="J1088" s="460"/>
      <c r="K1088" s="517"/>
      <c r="L1088" s="460"/>
      <c r="M1088" s="461"/>
      <c r="N1088" s="461"/>
      <c r="O1088" s="470"/>
      <c r="P1088" s="568" t="str">
        <f>IF(LEFT(B1088,5)="09735",
    IF(ISNA(VLOOKUP(Tabla13[[#This Row],[Apoyo]],'LM SAP'!A:G,1,FALSE)),
        "No Disponible",
        IF(VLOOKUP(Tabla13[[#This Row],[Apoyo]],'LM SAP'!A:AD,9,FALSE)="RR",
            "Disponible",
            "Firmas SAP"
        )
    ),
    "CONSULTAR"
)</f>
        <v>CONSULTAR</v>
      </c>
      <c r="Q1088" s="460"/>
      <c r="S1088" s="460"/>
      <c r="T1088" s="465"/>
      <c r="X1088" s="466"/>
    </row>
    <row r="1089" spans="1:24" s="464" customFormat="1" ht="15" customHeight="1" x14ac:dyDescent="0.25">
      <c r="A1089" s="453"/>
      <c r="B1089" s="454"/>
      <c r="C1089" s="469"/>
      <c r="D1089" s="456"/>
      <c r="E1089" s="457"/>
      <c r="F1089" s="458"/>
      <c r="G1089" s="459"/>
      <c r="H1089" s="460"/>
      <c r="I1089" s="460"/>
      <c r="J1089" s="460"/>
      <c r="K1089" s="517"/>
      <c r="L1089" s="460"/>
      <c r="M1089" s="461"/>
      <c r="N1089" s="461"/>
      <c r="O1089" s="470"/>
      <c r="P1089" s="568" t="str">
        <f>IF(LEFT(B1089,5)="09735",
    IF(ISNA(VLOOKUP(Tabla13[[#This Row],[Apoyo]],'LM SAP'!A:G,1,FALSE)),
        "No Disponible",
        IF(VLOOKUP(Tabla13[[#This Row],[Apoyo]],'LM SAP'!A:AD,9,FALSE)="RR",
            "Disponible",
            "Firmas SAP"
        )
    ),
    "CONSULTAR"
)</f>
        <v>CONSULTAR</v>
      </c>
      <c r="Q1089" s="460"/>
      <c r="S1089" s="460"/>
      <c r="T1089" s="465"/>
      <c r="X1089" s="466"/>
    </row>
    <row r="1090" spans="1:24" s="464" customFormat="1" ht="15" customHeight="1" x14ac:dyDescent="0.25">
      <c r="A1090" s="453"/>
      <c r="B1090" s="454"/>
      <c r="C1090" s="469"/>
      <c r="D1090" s="456"/>
      <c r="E1090" s="457"/>
      <c r="F1090" s="458"/>
      <c r="G1090" s="459"/>
      <c r="H1090" s="460"/>
      <c r="I1090" s="460"/>
      <c r="J1090" s="460"/>
      <c r="K1090" s="517"/>
      <c r="L1090" s="460"/>
      <c r="M1090" s="461"/>
      <c r="N1090" s="461"/>
      <c r="O1090" s="470"/>
      <c r="P1090" s="568" t="str">
        <f>IF(LEFT(B1090,5)="09735",
    IF(ISNA(VLOOKUP(Tabla13[[#This Row],[Apoyo]],'LM SAP'!A:G,1,FALSE)),
        "No Disponible",
        IF(VLOOKUP(Tabla13[[#This Row],[Apoyo]],'LM SAP'!A:AD,9,FALSE)="RR",
            "Disponible",
            "Firmas SAP"
        )
    ),
    "CONSULTAR"
)</f>
        <v>CONSULTAR</v>
      </c>
      <c r="Q1090" s="460"/>
      <c r="S1090" s="460"/>
      <c r="T1090" s="465"/>
      <c r="X1090" s="466"/>
    </row>
    <row r="1091" spans="1:24" s="464" customFormat="1" ht="15" customHeight="1" x14ac:dyDescent="0.25">
      <c r="A1091" s="453"/>
      <c r="B1091" s="454"/>
      <c r="C1091" s="469"/>
      <c r="D1091" s="456"/>
      <c r="E1091" s="457"/>
      <c r="F1091" s="458"/>
      <c r="G1091" s="459"/>
      <c r="H1091" s="460"/>
      <c r="I1091" s="460"/>
      <c r="J1091" s="460"/>
      <c r="K1091" s="517"/>
      <c r="L1091" s="460"/>
      <c r="M1091" s="461"/>
      <c r="N1091" s="461"/>
      <c r="O1091" s="470"/>
      <c r="P1091" s="568" t="str">
        <f>IF(LEFT(B1091,5)="09735",
    IF(ISNA(VLOOKUP(Tabla13[[#This Row],[Apoyo]],'LM SAP'!A:G,1,FALSE)),
        "No Disponible",
        IF(VLOOKUP(Tabla13[[#This Row],[Apoyo]],'LM SAP'!A:AD,9,FALSE)="RR",
            "Disponible",
            "Firmas SAP"
        )
    ),
    "CONSULTAR"
)</f>
        <v>CONSULTAR</v>
      </c>
      <c r="Q1091" s="460"/>
      <c r="S1091" s="460"/>
      <c r="T1091" s="465"/>
      <c r="X1091" s="466"/>
    </row>
    <row r="1092" spans="1:24" s="464" customFormat="1" ht="15" customHeight="1" x14ac:dyDescent="0.25">
      <c r="A1092" s="453"/>
      <c r="B1092" s="454"/>
      <c r="C1092" s="469"/>
      <c r="D1092" s="456"/>
      <c r="E1092" s="457"/>
      <c r="F1092" s="458"/>
      <c r="G1092" s="459"/>
      <c r="H1092" s="460"/>
      <c r="I1092" s="460"/>
      <c r="J1092" s="460"/>
      <c r="K1092" s="517"/>
      <c r="L1092" s="460"/>
      <c r="M1092" s="461"/>
      <c r="N1092" s="461"/>
      <c r="O1092" s="470"/>
      <c r="P1092" s="568" t="str">
        <f>IF(LEFT(B1092,5)="09735",
    IF(ISNA(VLOOKUP(Tabla13[[#This Row],[Apoyo]],'LM SAP'!A:G,1,FALSE)),
        "No Disponible",
        IF(VLOOKUP(Tabla13[[#This Row],[Apoyo]],'LM SAP'!A:AD,9,FALSE)="RR",
            "Disponible",
            "Firmas SAP"
        )
    ),
    "CONSULTAR"
)</f>
        <v>CONSULTAR</v>
      </c>
      <c r="Q1092" s="460"/>
      <c r="S1092" s="460"/>
      <c r="T1092" s="465"/>
      <c r="X1092" s="466"/>
    </row>
    <row r="1093" spans="1:24" s="464" customFormat="1" ht="15" customHeight="1" x14ac:dyDescent="0.25">
      <c r="A1093" s="453"/>
      <c r="B1093" s="454"/>
      <c r="C1093" s="469"/>
      <c r="D1093" s="456"/>
      <c r="E1093" s="457"/>
      <c r="F1093" s="458"/>
      <c r="G1093" s="459"/>
      <c r="H1093" s="460"/>
      <c r="I1093" s="460"/>
      <c r="J1093" s="460"/>
      <c r="K1093" s="517"/>
      <c r="L1093" s="460"/>
      <c r="M1093" s="461"/>
      <c r="N1093" s="461"/>
      <c r="O1093" s="470"/>
      <c r="P1093" s="568" t="str">
        <f>IF(LEFT(B1093,5)="09735",
    IF(ISNA(VLOOKUP(Tabla13[[#This Row],[Apoyo]],'LM SAP'!A:G,1,FALSE)),
        "No Disponible",
        IF(VLOOKUP(Tabla13[[#This Row],[Apoyo]],'LM SAP'!A:AD,9,FALSE)="RR",
            "Disponible",
            "Firmas SAP"
        )
    ),
    "CONSULTAR"
)</f>
        <v>CONSULTAR</v>
      </c>
      <c r="Q1093" s="460"/>
      <c r="S1093" s="460"/>
      <c r="T1093" s="465"/>
      <c r="X1093" s="466"/>
    </row>
    <row r="1094" spans="1:24" s="464" customFormat="1" ht="15" customHeight="1" x14ac:dyDescent="0.25">
      <c r="A1094" s="453"/>
      <c r="B1094" s="454"/>
      <c r="C1094" s="469"/>
      <c r="D1094" s="456"/>
      <c r="E1094" s="457"/>
      <c r="F1094" s="458"/>
      <c r="G1094" s="459"/>
      <c r="H1094" s="460"/>
      <c r="I1094" s="460"/>
      <c r="J1094" s="460"/>
      <c r="K1094" s="517"/>
      <c r="L1094" s="460"/>
      <c r="M1094" s="461"/>
      <c r="N1094" s="461"/>
      <c r="O1094" s="470"/>
      <c r="P1094" s="568" t="str">
        <f>IF(LEFT(B1094,5)="09735",
    IF(ISNA(VLOOKUP(Tabla13[[#This Row],[Apoyo]],'LM SAP'!A:G,1,FALSE)),
        "No Disponible",
        IF(VLOOKUP(Tabla13[[#This Row],[Apoyo]],'LM SAP'!A:AD,9,FALSE)="RR",
            "Disponible",
            "Firmas SAP"
        )
    ),
    "CONSULTAR"
)</f>
        <v>CONSULTAR</v>
      </c>
      <c r="Q1094" s="460"/>
      <c r="S1094" s="460"/>
      <c r="T1094" s="465"/>
      <c r="X1094" s="466"/>
    </row>
    <row r="1095" spans="1:24" s="464" customFormat="1" ht="15" customHeight="1" x14ac:dyDescent="0.25">
      <c r="A1095" s="453"/>
      <c r="B1095" s="454"/>
      <c r="C1095" s="469"/>
      <c r="D1095" s="456"/>
      <c r="E1095" s="457"/>
      <c r="F1095" s="458"/>
      <c r="G1095" s="459"/>
      <c r="H1095" s="460"/>
      <c r="I1095" s="460"/>
      <c r="J1095" s="460"/>
      <c r="K1095" s="517"/>
      <c r="L1095" s="460"/>
      <c r="M1095" s="461"/>
      <c r="N1095" s="461"/>
      <c r="O1095" s="470"/>
      <c r="P1095" s="568" t="str">
        <f>IF(LEFT(B1095,5)="09735",
    IF(ISNA(VLOOKUP(Tabla13[[#This Row],[Apoyo]],'LM SAP'!A:G,1,FALSE)),
        "No Disponible",
        IF(VLOOKUP(Tabla13[[#This Row],[Apoyo]],'LM SAP'!A:AD,9,FALSE)="RR",
            "Disponible",
            "Firmas SAP"
        )
    ),
    "CONSULTAR"
)</f>
        <v>CONSULTAR</v>
      </c>
      <c r="Q1095" s="460"/>
      <c r="S1095" s="460"/>
      <c r="T1095" s="465"/>
      <c r="X1095" s="466"/>
    </row>
    <row r="1096" spans="1:24" s="464" customFormat="1" ht="15" customHeight="1" x14ac:dyDescent="0.25">
      <c r="A1096" s="453"/>
      <c r="B1096" s="454"/>
      <c r="C1096" s="469"/>
      <c r="D1096" s="456"/>
      <c r="E1096" s="457"/>
      <c r="F1096" s="458"/>
      <c r="G1096" s="459"/>
      <c r="H1096" s="460"/>
      <c r="I1096" s="460"/>
      <c r="J1096" s="460"/>
      <c r="K1096" s="517"/>
      <c r="L1096" s="460"/>
      <c r="M1096" s="461"/>
      <c r="N1096" s="461"/>
      <c r="O1096" s="470"/>
      <c r="P1096" s="568" t="str">
        <f>IF(LEFT(B1096,5)="09735",
    IF(ISNA(VLOOKUP(Tabla13[[#This Row],[Apoyo]],'LM SAP'!A:G,1,FALSE)),
        "No Disponible",
        IF(VLOOKUP(Tabla13[[#This Row],[Apoyo]],'LM SAP'!A:AD,9,FALSE)="RR",
            "Disponible",
            "Firmas SAP"
        )
    ),
    "CONSULTAR"
)</f>
        <v>CONSULTAR</v>
      </c>
      <c r="Q1096" s="460"/>
      <c r="S1096" s="460"/>
      <c r="T1096" s="465"/>
      <c r="X1096" s="466"/>
    </row>
    <row r="1097" spans="1:24" s="464" customFormat="1" ht="15" customHeight="1" x14ac:dyDescent="0.25">
      <c r="A1097" s="453"/>
      <c r="B1097" s="454"/>
      <c r="C1097" s="469"/>
      <c r="D1097" s="456"/>
      <c r="E1097" s="457"/>
      <c r="F1097" s="458"/>
      <c r="G1097" s="459"/>
      <c r="H1097" s="460"/>
      <c r="I1097" s="460"/>
      <c r="J1097" s="460"/>
      <c r="K1097" s="517"/>
      <c r="L1097" s="460"/>
      <c r="M1097" s="461"/>
      <c r="N1097" s="461"/>
      <c r="O1097" s="470"/>
      <c r="P1097" s="568" t="str">
        <f>IF(LEFT(B1097,5)="09735",
    IF(ISNA(VLOOKUP(Tabla13[[#This Row],[Apoyo]],'LM SAP'!A:G,1,FALSE)),
        "No Disponible",
        IF(VLOOKUP(Tabla13[[#This Row],[Apoyo]],'LM SAP'!A:AD,9,FALSE)="RR",
            "Disponible",
            "Firmas SAP"
        )
    ),
    "CONSULTAR"
)</f>
        <v>CONSULTAR</v>
      </c>
      <c r="Q1097" s="460"/>
      <c r="S1097" s="460"/>
      <c r="T1097" s="465"/>
      <c r="X1097" s="466"/>
    </row>
    <row r="1098" spans="1:24" s="464" customFormat="1" ht="15" customHeight="1" x14ac:dyDescent="0.25">
      <c r="A1098" s="453"/>
      <c r="B1098" s="454"/>
      <c r="C1098" s="469"/>
      <c r="D1098" s="456"/>
      <c r="E1098" s="457"/>
      <c r="F1098" s="458"/>
      <c r="G1098" s="459"/>
      <c r="H1098" s="460"/>
      <c r="I1098" s="460"/>
      <c r="J1098" s="460"/>
      <c r="K1098" s="517"/>
      <c r="L1098" s="460"/>
      <c r="M1098" s="461"/>
      <c r="N1098" s="461"/>
      <c r="O1098" s="470"/>
      <c r="P1098" s="568" t="str">
        <f>IF(LEFT(B1098,5)="09735",
    IF(ISNA(VLOOKUP(Tabla13[[#This Row],[Apoyo]],'LM SAP'!A:G,1,FALSE)),
        "No Disponible",
        IF(VLOOKUP(Tabla13[[#This Row],[Apoyo]],'LM SAP'!A:AD,9,FALSE)="RR",
            "Disponible",
            "Firmas SAP"
        )
    ),
    "CONSULTAR"
)</f>
        <v>CONSULTAR</v>
      </c>
      <c r="Q1098" s="460"/>
      <c r="S1098" s="460"/>
      <c r="T1098" s="465"/>
      <c r="X1098" s="466"/>
    </row>
    <row r="1099" spans="1:24" s="464" customFormat="1" ht="15" customHeight="1" x14ac:dyDescent="0.25">
      <c r="A1099" s="453"/>
      <c r="B1099" s="454"/>
      <c r="C1099" s="469"/>
      <c r="D1099" s="456"/>
      <c r="E1099" s="457"/>
      <c r="F1099" s="458"/>
      <c r="G1099" s="459"/>
      <c r="H1099" s="460"/>
      <c r="I1099" s="460"/>
      <c r="J1099" s="460"/>
      <c r="K1099" s="517"/>
      <c r="L1099" s="460"/>
      <c r="M1099" s="461"/>
      <c r="N1099" s="461"/>
      <c r="O1099" s="470"/>
      <c r="P1099" s="568" t="str">
        <f>IF(LEFT(B1099,5)="09735",
    IF(ISNA(VLOOKUP(Tabla13[[#This Row],[Apoyo]],'LM SAP'!A:G,1,FALSE)),
        "No Disponible",
        IF(VLOOKUP(Tabla13[[#This Row],[Apoyo]],'LM SAP'!A:AD,9,FALSE)="RR",
            "Disponible",
            "Firmas SAP"
        )
    ),
    "CONSULTAR"
)</f>
        <v>CONSULTAR</v>
      </c>
      <c r="Q1099" s="460"/>
      <c r="S1099" s="460"/>
      <c r="T1099" s="465"/>
      <c r="X1099" s="466"/>
    </row>
    <row r="1100" spans="1:24" s="464" customFormat="1" ht="15" customHeight="1" x14ac:dyDescent="0.25">
      <c r="A1100" s="453"/>
      <c r="B1100" s="454"/>
      <c r="C1100" s="469"/>
      <c r="D1100" s="456"/>
      <c r="E1100" s="457"/>
      <c r="F1100" s="458"/>
      <c r="G1100" s="459"/>
      <c r="H1100" s="460"/>
      <c r="I1100" s="460"/>
      <c r="J1100" s="460"/>
      <c r="K1100" s="517"/>
      <c r="L1100" s="460"/>
      <c r="M1100" s="461"/>
      <c r="N1100" s="461"/>
      <c r="O1100" s="470"/>
      <c r="P1100" s="568" t="str">
        <f>IF(LEFT(B1100,5)="09735",
    IF(ISNA(VLOOKUP(Tabla13[[#This Row],[Apoyo]],'LM SAP'!A:G,1,FALSE)),
        "No Disponible",
        IF(VLOOKUP(Tabla13[[#This Row],[Apoyo]],'LM SAP'!A:AD,9,FALSE)="RR",
            "Disponible",
            "Firmas SAP"
        )
    ),
    "CONSULTAR"
)</f>
        <v>CONSULTAR</v>
      </c>
      <c r="Q1100" s="460"/>
      <c r="S1100" s="460"/>
      <c r="T1100" s="465"/>
      <c r="X1100" s="466"/>
    </row>
    <row r="1101" spans="1:24" s="464" customFormat="1" ht="15" customHeight="1" x14ac:dyDescent="0.25">
      <c r="A1101" s="453"/>
      <c r="B1101" s="454"/>
      <c r="C1101" s="469"/>
      <c r="D1101" s="456"/>
      <c r="E1101" s="457"/>
      <c r="F1101" s="458"/>
      <c r="G1101" s="459"/>
      <c r="H1101" s="460"/>
      <c r="I1101" s="460"/>
      <c r="J1101" s="460"/>
      <c r="K1101" s="517"/>
      <c r="L1101" s="460"/>
      <c r="M1101" s="461"/>
      <c r="N1101" s="461"/>
      <c r="O1101" s="470"/>
      <c r="P1101" s="568" t="str">
        <f>IF(LEFT(B1101,5)="09735",
    IF(ISNA(VLOOKUP(Tabla13[[#This Row],[Apoyo]],'LM SAP'!A:G,1,FALSE)),
        "No Disponible",
        IF(VLOOKUP(Tabla13[[#This Row],[Apoyo]],'LM SAP'!A:AD,9,FALSE)="RR",
            "Disponible",
            "Firmas SAP"
        )
    ),
    "CONSULTAR"
)</f>
        <v>CONSULTAR</v>
      </c>
      <c r="Q1101" s="460"/>
      <c r="S1101" s="460"/>
      <c r="T1101" s="465"/>
      <c r="X1101" s="466"/>
    </row>
    <row r="1102" spans="1:24" s="464" customFormat="1" ht="15" customHeight="1" x14ac:dyDescent="0.25">
      <c r="A1102" s="453"/>
      <c r="B1102" s="454"/>
      <c r="C1102" s="469"/>
      <c r="D1102" s="456"/>
      <c r="E1102" s="457"/>
      <c r="F1102" s="458"/>
      <c r="G1102" s="459"/>
      <c r="H1102" s="460"/>
      <c r="I1102" s="460"/>
      <c r="J1102" s="460"/>
      <c r="K1102" s="517"/>
      <c r="L1102" s="460"/>
      <c r="M1102" s="461"/>
      <c r="N1102" s="461"/>
      <c r="O1102" s="470"/>
      <c r="P1102" s="568" t="str">
        <f>IF(LEFT(B1102,5)="09735",
    IF(ISNA(VLOOKUP(Tabla13[[#This Row],[Apoyo]],'LM SAP'!A:G,1,FALSE)),
        "No Disponible",
        IF(VLOOKUP(Tabla13[[#This Row],[Apoyo]],'LM SAP'!A:AD,9,FALSE)="RR",
            "Disponible",
            "Firmas SAP"
        )
    ),
    "CONSULTAR"
)</f>
        <v>CONSULTAR</v>
      </c>
      <c r="Q1102" s="460"/>
      <c r="S1102" s="460"/>
      <c r="T1102" s="465"/>
      <c r="X1102" s="466"/>
    </row>
    <row r="1103" spans="1:24" s="464" customFormat="1" ht="15" customHeight="1" x14ac:dyDescent="0.25">
      <c r="A1103" s="453"/>
      <c r="B1103" s="454"/>
      <c r="C1103" s="469"/>
      <c r="D1103" s="456"/>
      <c r="E1103" s="457"/>
      <c r="F1103" s="458"/>
      <c r="G1103" s="459"/>
      <c r="H1103" s="460"/>
      <c r="I1103" s="460"/>
      <c r="J1103" s="460"/>
      <c r="K1103" s="517"/>
      <c r="L1103" s="460"/>
      <c r="M1103" s="461"/>
      <c r="N1103" s="461"/>
      <c r="O1103" s="470"/>
      <c r="P1103" s="568" t="str">
        <f>IF(LEFT(B1103,5)="09735",
    IF(ISNA(VLOOKUP(Tabla13[[#This Row],[Apoyo]],'LM SAP'!A:G,1,FALSE)),
        "No Disponible",
        IF(VLOOKUP(Tabla13[[#This Row],[Apoyo]],'LM SAP'!A:AD,9,FALSE)="RR",
            "Disponible",
            "Firmas SAP"
        )
    ),
    "CONSULTAR"
)</f>
        <v>CONSULTAR</v>
      </c>
      <c r="Q1103" s="460"/>
      <c r="S1103" s="460"/>
      <c r="T1103" s="465"/>
      <c r="X1103" s="466"/>
    </row>
    <row r="1104" spans="1:24" s="464" customFormat="1" ht="15" customHeight="1" x14ac:dyDescent="0.25">
      <c r="A1104" s="453"/>
      <c r="B1104" s="454"/>
      <c r="C1104" s="469"/>
      <c r="D1104" s="456"/>
      <c r="E1104" s="457"/>
      <c r="F1104" s="458"/>
      <c r="G1104" s="459"/>
      <c r="H1104" s="460"/>
      <c r="I1104" s="460"/>
      <c r="J1104" s="460"/>
      <c r="K1104" s="517"/>
      <c r="L1104" s="460"/>
      <c r="M1104" s="461"/>
      <c r="N1104" s="461"/>
      <c r="O1104" s="470"/>
      <c r="P1104" s="568" t="str">
        <f>IF(LEFT(B1104,5)="09735",
    IF(ISNA(VLOOKUP(Tabla13[[#This Row],[Apoyo]],'LM SAP'!A:G,1,FALSE)),
        "No Disponible",
        IF(VLOOKUP(Tabla13[[#This Row],[Apoyo]],'LM SAP'!A:AD,9,FALSE)="RR",
            "Disponible",
            "Firmas SAP"
        )
    ),
    "CONSULTAR"
)</f>
        <v>CONSULTAR</v>
      </c>
      <c r="Q1104" s="460"/>
      <c r="S1104" s="460"/>
      <c r="T1104" s="465"/>
      <c r="X1104" s="466"/>
    </row>
    <row r="1105" spans="1:24" s="464" customFormat="1" ht="15" customHeight="1" x14ac:dyDescent="0.25">
      <c r="A1105" s="453"/>
      <c r="B1105" s="454"/>
      <c r="C1105" s="469"/>
      <c r="D1105" s="456"/>
      <c r="E1105" s="457"/>
      <c r="F1105" s="458"/>
      <c r="G1105" s="459"/>
      <c r="H1105" s="460"/>
      <c r="I1105" s="460"/>
      <c r="J1105" s="460"/>
      <c r="K1105" s="517"/>
      <c r="L1105" s="460"/>
      <c r="M1105" s="461"/>
      <c r="N1105" s="461"/>
      <c r="O1105" s="470"/>
      <c r="P1105" s="568" t="str">
        <f>IF(LEFT(B1105,5)="09735",
    IF(ISNA(VLOOKUP(Tabla13[[#This Row],[Apoyo]],'LM SAP'!A:G,1,FALSE)),
        "No Disponible",
        IF(VLOOKUP(Tabla13[[#This Row],[Apoyo]],'LM SAP'!A:AD,9,FALSE)="RR",
            "Disponible",
            "Firmas SAP"
        )
    ),
    "CONSULTAR"
)</f>
        <v>CONSULTAR</v>
      </c>
      <c r="Q1105" s="460"/>
      <c r="S1105" s="460"/>
      <c r="T1105" s="465"/>
      <c r="X1105" s="466"/>
    </row>
    <row r="1106" spans="1:24" s="464" customFormat="1" ht="15" customHeight="1" x14ac:dyDescent="0.25">
      <c r="A1106" s="453"/>
      <c r="B1106" s="454"/>
      <c r="C1106" s="469"/>
      <c r="D1106" s="456"/>
      <c r="E1106" s="457"/>
      <c r="F1106" s="458"/>
      <c r="G1106" s="459"/>
      <c r="H1106" s="460"/>
      <c r="I1106" s="460"/>
      <c r="J1106" s="460"/>
      <c r="K1106" s="517"/>
      <c r="L1106" s="460"/>
      <c r="M1106" s="461"/>
      <c r="N1106" s="461"/>
      <c r="O1106" s="470"/>
      <c r="P1106" s="568" t="str">
        <f>IF(LEFT(B1106,5)="09735",
    IF(ISNA(VLOOKUP(Tabla13[[#This Row],[Apoyo]],'LM SAP'!A:G,1,FALSE)),
        "No Disponible",
        IF(VLOOKUP(Tabla13[[#This Row],[Apoyo]],'LM SAP'!A:AD,9,FALSE)="RR",
            "Disponible",
            "Firmas SAP"
        )
    ),
    "CONSULTAR"
)</f>
        <v>CONSULTAR</v>
      </c>
      <c r="Q1106" s="460"/>
      <c r="S1106" s="460"/>
      <c r="T1106" s="465"/>
      <c r="X1106" s="466"/>
    </row>
    <row r="1107" spans="1:24" s="464" customFormat="1" ht="15" customHeight="1" x14ac:dyDescent="0.25">
      <c r="A1107" s="453"/>
      <c r="B1107" s="454"/>
      <c r="C1107" s="469"/>
      <c r="D1107" s="456"/>
      <c r="E1107" s="457"/>
      <c r="F1107" s="458"/>
      <c r="G1107" s="459"/>
      <c r="H1107" s="460"/>
      <c r="I1107" s="460"/>
      <c r="J1107" s="460"/>
      <c r="K1107" s="517"/>
      <c r="L1107" s="460"/>
      <c r="M1107" s="461"/>
      <c r="N1107" s="461"/>
      <c r="O1107" s="470"/>
      <c r="P1107" s="568" t="str">
        <f>IF(LEFT(B1107,5)="09735",
    IF(ISNA(VLOOKUP(Tabla13[[#This Row],[Apoyo]],'LM SAP'!A:G,1,FALSE)),
        "No Disponible",
        IF(VLOOKUP(Tabla13[[#This Row],[Apoyo]],'LM SAP'!A:AD,9,FALSE)="RR",
            "Disponible",
            "Firmas SAP"
        )
    ),
    "CONSULTAR"
)</f>
        <v>CONSULTAR</v>
      </c>
      <c r="Q1107" s="460"/>
      <c r="S1107" s="460"/>
      <c r="T1107" s="465"/>
      <c r="X1107" s="466"/>
    </row>
    <row r="1108" spans="1:24" s="464" customFormat="1" ht="15" customHeight="1" x14ac:dyDescent="0.25">
      <c r="A1108" s="453"/>
      <c r="B1108" s="454"/>
      <c r="C1108" s="469"/>
      <c r="D1108" s="456"/>
      <c r="E1108" s="457"/>
      <c r="F1108" s="458"/>
      <c r="G1108" s="459"/>
      <c r="H1108" s="460"/>
      <c r="I1108" s="460"/>
      <c r="J1108" s="460"/>
      <c r="K1108" s="517"/>
      <c r="L1108" s="460"/>
      <c r="M1108" s="461"/>
      <c r="N1108" s="461"/>
      <c r="O1108" s="470"/>
      <c r="P1108" s="568" t="str">
        <f>IF(LEFT(B1108,5)="09735",
    IF(ISNA(VLOOKUP(Tabla13[[#This Row],[Apoyo]],'LM SAP'!A:G,1,FALSE)),
        "No Disponible",
        IF(VLOOKUP(Tabla13[[#This Row],[Apoyo]],'LM SAP'!A:AD,9,FALSE)="RR",
            "Disponible",
            "Firmas SAP"
        )
    ),
    "CONSULTAR"
)</f>
        <v>CONSULTAR</v>
      </c>
      <c r="Q1108" s="460"/>
      <c r="S1108" s="460"/>
      <c r="T1108" s="465"/>
      <c r="X1108" s="466"/>
    </row>
    <row r="1109" spans="1:24" s="464" customFormat="1" ht="15" customHeight="1" x14ac:dyDescent="0.25">
      <c r="A1109" s="453"/>
      <c r="B1109" s="454"/>
      <c r="C1109" s="469"/>
      <c r="D1109" s="456"/>
      <c r="E1109" s="457"/>
      <c r="F1109" s="458"/>
      <c r="G1109" s="459"/>
      <c r="H1109" s="460"/>
      <c r="I1109" s="460"/>
      <c r="J1109" s="460"/>
      <c r="K1109" s="517"/>
      <c r="L1109" s="460"/>
      <c r="M1109" s="461"/>
      <c r="N1109" s="461"/>
      <c r="O1109" s="470"/>
      <c r="P1109" s="568" t="str">
        <f>IF(LEFT(B1109,5)="09735",
    IF(ISNA(VLOOKUP(Tabla13[[#This Row],[Apoyo]],'LM SAP'!A:G,1,FALSE)),
        "No Disponible",
        IF(VLOOKUP(Tabla13[[#This Row],[Apoyo]],'LM SAP'!A:AD,9,FALSE)="RR",
            "Disponible",
            "Firmas SAP"
        )
    ),
    "CONSULTAR"
)</f>
        <v>CONSULTAR</v>
      </c>
      <c r="Q1109" s="460"/>
      <c r="S1109" s="460"/>
      <c r="T1109" s="465"/>
      <c r="X1109" s="466"/>
    </row>
    <row r="1110" spans="1:24" s="464" customFormat="1" ht="15" customHeight="1" x14ac:dyDescent="0.25">
      <c r="A1110" s="453"/>
      <c r="B1110" s="454"/>
      <c r="C1110" s="469"/>
      <c r="D1110" s="456"/>
      <c r="E1110" s="457"/>
      <c r="F1110" s="458"/>
      <c r="G1110" s="459"/>
      <c r="H1110" s="460"/>
      <c r="I1110" s="460"/>
      <c r="J1110" s="460"/>
      <c r="K1110" s="517"/>
      <c r="L1110" s="460"/>
      <c r="M1110" s="461"/>
      <c r="N1110" s="461"/>
      <c r="O1110" s="470"/>
      <c r="P1110" s="568" t="str">
        <f>IF(LEFT(B1110,5)="09735",
    IF(ISNA(VLOOKUP(Tabla13[[#This Row],[Apoyo]],'LM SAP'!A:G,1,FALSE)),
        "No Disponible",
        IF(VLOOKUP(Tabla13[[#This Row],[Apoyo]],'LM SAP'!A:AD,9,FALSE)="RR",
            "Disponible",
            "Firmas SAP"
        )
    ),
    "CONSULTAR"
)</f>
        <v>CONSULTAR</v>
      </c>
      <c r="Q1110" s="460"/>
      <c r="S1110" s="460"/>
      <c r="T1110" s="465"/>
      <c r="X1110" s="466"/>
    </row>
    <row r="1111" spans="1:24" s="464" customFormat="1" ht="15" customHeight="1" x14ac:dyDescent="0.25">
      <c r="A1111" s="453"/>
      <c r="B1111" s="454"/>
      <c r="C1111" s="469"/>
      <c r="D1111" s="456"/>
      <c r="E1111" s="457"/>
      <c r="F1111" s="458"/>
      <c r="G1111" s="459"/>
      <c r="H1111" s="460"/>
      <c r="I1111" s="460"/>
      <c r="J1111" s="460"/>
      <c r="K1111" s="517"/>
      <c r="L1111" s="460"/>
      <c r="M1111" s="461"/>
      <c r="N1111" s="461"/>
      <c r="O1111" s="470"/>
      <c r="P1111" s="568" t="str">
        <f>IF(LEFT(B1111,5)="09735",
    IF(ISNA(VLOOKUP(Tabla13[[#This Row],[Apoyo]],'LM SAP'!A:G,1,FALSE)),
        "No Disponible",
        IF(VLOOKUP(Tabla13[[#This Row],[Apoyo]],'LM SAP'!A:AD,9,FALSE)="RR",
            "Disponible",
            "Firmas SAP"
        )
    ),
    "CONSULTAR"
)</f>
        <v>CONSULTAR</v>
      </c>
      <c r="Q1111" s="460"/>
      <c r="S1111" s="460"/>
      <c r="T1111" s="465"/>
      <c r="X1111" s="466"/>
    </row>
    <row r="1112" spans="1:24" s="464" customFormat="1" ht="15" customHeight="1" x14ac:dyDescent="0.25">
      <c r="A1112" s="453"/>
      <c r="B1112" s="454"/>
      <c r="C1112" s="469"/>
      <c r="D1112" s="456"/>
      <c r="E1112" s="457"/>
      <c r="F1112" s="458"/>
      <c r="G1112" s="459"/>
      <c r="H1112" s="460"/>
      <c r="I1112" s="460"/>
      <c r="J1112" s="460"/>
      <c r="K1112" s="517"/>
      <c r="L1112" s="460"/>
      <c r="M1112" s="461"/>
      <c r="N1112" s="461"/>
      <c r="O1112" s="470"/>
      <c r="P1112" s="568" t="str">
        <f>IF(LEFT(B1112,5)="09735",
    IF(ISNA(VLOOKUP(Tabla13[[#This Row],[Apoyo]],'LM SAP'!A:G,1,FALSE)),
        "No Disponible",
        IF(VLOOKUP(Tabla13[[#This Row],[Apoyo]],'LM SAP'!A:AD,9,FALSE)="RR",
            "Disponible",
            "Firmas SAP"
        )
    ),
    "CONSULTAR"
)</f>
        <v>CONSULTAR</v>
      </c>
      <c r="Q1112" s="460"/>
      <c r="S1112" s="460"/>
      <c r="T1112" s="465"/>
      <c r="X1112" s="466"/>
    </row>
    <row r="1113" spans="1:24" s="464" customFormat="1" ht="15" customHeight="1" x14ac:dyDescent="0.25">
      <c r="A1113" s="453"/>
      <c r="B1113" s="454"/>
      <c r="C1113" s="469"/>
      <c r="D1113" s="456"/>
      <c r="E1113" s="457"/>
      <c r="F1113" s="458"/>
      <c r="G1113" s="459"/>
      <c r="H1113" s="460"/>
      <c r="I1113" s="460"/>
      <c r="J1113" s="460"/>
      <c r="K1113" s="517"/>
      <c r="L1113" s="460"/>
      <c r="M1113" s="461"/>
      <c r="N1113" s="461"/>
      <c r="O1113" s="470"/>
      <c r="P1113" s="568" t="str">
        <f>IF(LEFT(B1113,5)="09735",
    IF(ISNA(VLOOKUP(Tabla13[[#This Row],[Apoyo]],'LM SAP'!A:G,1,FALSE)),
        "No Disponible",
        IF(VLOOKUP(Tabla13[[#This Row],[Apoyo]],'LM SAP'!A:AD,9,FALSE)="RR",
            "Disponible",
            "Firmas SAP"
        )
    ),
    "CONSULTAR"
)</f>
        <v>CONSULTAR</v>
      </c>
      <c r="Q1113" s="460"/>
      <c r="S1113" s="460"/>
      <c r="T1113" s="465"/>
      <c r="X1113" s="466"/>
    </row>
    <row r="1114" spans="1:24" s="464" customFormat="1" ht="15" customHeight="1" x14ac:dyDescent="0.25">
      <c r="A1114" s="453"/>
      <c r="B1114" s="454"/>
      <c r="C1114" s="469"/>
      <c r="D1114" s="456"/>
      <c r="E1114" s="457"/>
      <c r="F1114" s="458"/>
      <c r="G1114" s="459"/>
      <c r="H1114" s="460"/>
      <c r="I1114" s="460"/>
      <c r="J1114" s="460"/>
      <c r="K1114" s="517"/>
      <c r="L1114" s="460"/>
      <c r="M1114" s="461"/>
      <c r="N1114" s="461"/>
      <c r="O1114" s="470"/>
      <c r="P1114" s="568" t="str">
        <f>IF(LEFT(B1114,5)="09735",
    IF(ISNA(VLOOKUP(Tabla13[[#This Row],[Apoyo]],'LM SAP'!A:G,1,FALSE)),
        "No Disponible",
        IF(VLOOKUP(Tabla13[[#This Row],[Apoyo]],'LM SAP'!A:AD,9,FALSE)="RR",
            "Disponible",
            "Firmas SAP"
        )
    ),
    "CONSULTAR"
)</f>
        <v>CONSULTAR</v>
      </c>
      <c r="Q1114" s="460"/>
      <c r="S1114" s="460"/>
      <c r="T1114" s="465"/>
      <c r="X1114" s="466"/>
    </row>
    <row r="1115" spans="1:24" s="464" customFormat="1" ht="15" customHeight="1" x14ac:dyDescent="0.25">
      <c r="A1115" s="453"/>
      <c r="B1115" s="454"/>
      <c r="C1115" s="469"/>
      <c r="D1115" s="456"/>
      <c r="E1115" s="457"/>
      <c r="F1115" s="458"/>
      <c r="G1115" s="459"/>
      <c r="H1115" s="460"/>
      <c r="I1115" s="460"/>
      <c r="J1115" s="460"/>
      <c r="K1115" s="517"/>
      <c r="L1115" s="460"/>
      <c r="M1115" s="461"/>
      <c r="N1115" s="461"/>
      <c r="O1115" s="470"/>
      <c r="P1115" s="568" t="str">
        <f>IF(LEFT(B1115,5)="09735",
    IF(ISNA(VLOOKUP(Tabla13[[#This Row],[Apoyo]],'LM SAP'!A:G,1,FALSE)),
        "No Disponible",
        IF(VLOOKUP(Tabla13[[#This Row],[Apoyo]],'LM SAP'!A:AD,9,FALSE)="RR",
            "Disponible",
            "Firmas SAP"
        )
    ),
    "CONSULTAR"
)</f>
        <v>CONSULTAR</v>
      </c>
      <c r="Q1115" s="460"/>
      <c r="S1115" s="460"/>
      <c r="T1115" s="465"/>
      <c r="X1115" s="466"/>
    </row>
    <row r="1116" spans="1:24" s="464" customFormat="1" ht="15" customHeight="1" x14ac:dyDescent="0.25">
      <c r="A1116" s="453"/>
      <c r="B1116" s="454"/>
      <c r="C1116" s="469"/>
      <c r="D1116" s="456"/>
      <c r="E1116" s="457"/>
      <c r="F1116" s="458"/>
      <c r="G1116" s="459"/>
      <c r="H1116" s="460"/>
      <c r="I1116" s="460"/>
      <c r="J1116" s="460"/>
      <c r="K1116" s="517"/>
      <c r="L1116" s="460"/>
      <c r="M1116" s="461"/>
      <c r="N1116" s="461"/>
      <c r="O1116" s="470"/>
      <c r="P1116" s="568" t="str">
        <f>IF(LEFT(B1116,5)="09735",
    IF(ISNA(VLOOKUP(Tabla13[[#This Row],[Apoyo]],'LM SAP'!A:G,1,FALSE)),
        "No Disponible",
        IF(VLOOKUP(Tabla13[[#This Row],[Apoyo]],'LM SAP'!A:AD,9,FALSE)="RR",
            "Disponible",
            "Firmas SAP"
        )
    ),
    "CONSULTAR"
)</f>
        <v>CONSULTAR</v>
      </c>
      <c r="Q1116" s="460"/>
      <c r="S1116" s="460"/>
      <c r="T1116" s="465"/>
      <c r="X1116" s="466"/>
    </row>
    <row r="1117" spans="1:24" s="464" customFormat="1" ht="15" customHeight="1" x14ac:dyDescent="0.25">
      <c r="A1117" s="453"/>
      <c r="B1117" s="454"/>
      <c r="C1117" s="469"/>
      <c r="D1117" s="456"/>
      <c r="E1117" s="457"/>
      <c r="F1117" s="458"/>
      <c r="G1117" s="459"/>
      <c r="H1117" s="460"/>
      <c r="I1117" s="460"/>
      <c r="J1117" s="460"/>
      <c r="K1117" s="517"/>
      <c r="L1117" s="460"/>
      <c r="M1117" s="461"/>
      <c r="N1117" s="461"/>
      <c r="O1117" s="470"/>
      <c r="P1117" s="568" t="str">
        <f>IF(LEFT(B1117,5)="09735",
    IF(ISNA(VLOOKUP(Tabla13[[#This Row],[Apoyo]],'LM SAP'!A:G,1,FALSE)),
        "No Disponible",
        IF(VLOOKUP(Tabla13[[#This Row],[Apoyo]],'LM SAP'!A:AD,9,FALSE)="RR",
            "Disponible",
            "Firmas SAP"
        )
    ),
    "CONSULTAR"
)</f>
        <v>CONSULTAR</v>
      </c>
      <c r="Q1117" s="460"/>
      <c r="S1117" s="460"/>
      <c r="T1117" s="465"/>
      <c r="X1117" s="466"/>
    </row>
    <row r="1118" spans="1:24" s="464" customFormat="1" ht="15" customHeight="1" x14ac:dyDescent="0.25">
      <c r="A1118" s="453"/>
      <c r="B1118" s="454"/>
      <c r="C1118" s="469"/>
      <c r="D1118" s="456"/>
      <c r="E1118" s="457"/>
      <c r="F1118" s="458"/>
      <c r="G1118" s="459"/>
      <c r="H1118" s="460"/>
      <c r="I1118" s="460"/>
      <c r="J1118" s="460"/>
      <c r="K1118" s="517"/>
      <c r="L1118" s="460"/>
      <c r="M1118" s="461"/>
      <c r="N1118" s="461"/>
      <c r="O1118" s="470"/>
      <c r="P1118" s="568" t="str">
        <f>IF(LEFT(B1118,5)="09735",
    IF(ISNA(VLOOKUP(Tabla13[[#This Row],[Apoyo]],'LM SAP'!A:G,1,FALSE)),
        "No Disponible",
        IF(VLOOKUP(Tabla13[[#This Row],[Apoyo]],'LM SAP'!A:AD,9,FALSE)="RR",
            "Disponible",
            "Firmas SAP"
        )
    ),
    "CONSULTAR"
)</f>
        <v>CONSULTAR</v>
      </c>
      <c r="Q1118" s="460"/>
      <c r="S1118" s="460"/>
      <c r="T1118" s="465"/>
      <c r="X1118" s="466"/>
    </row>
    <row r="1119" spans="1:24" s="464" customFormat="1" ht="15" customHeight="1" x14ac:dyDescent="0.25">
      <c r="A1119" s="453"/>
      <c r="B1119" s="454"/>
      <c r="C1119" s="469"/>
      <c r="D1119" s="456"/>
      <c r="E1119" s="457"/>
      <c r="F1119" s="458"/>
      <c r="G1119" s="459"/>
      <c r="H1119" s="460"/>
      <c r="I1119" s="460"/>
      <c r="J1119" s="460"/>
      <c r="K1119" s="517"/>
      <c r="L1119" s="460"/>
      <c r="M1119" s="461"/>
      <c r="N1119" s="461"/>
      <c r="O1119" s="470"/>
      <c r="P1119" s="568" t="str">
        <f>IF(LEFT(B1119,5)="09735",
    IF(ISNA(VLOOKUP(Tabla13[[#This Row],[Apoyo]],'LM SAP'!A:G,1,FALSE)),
        "No Disponible",
        IF(VLOOKUP(Tabla13[[#This Row],[Apoyo]],'LM SAP'!A:AD,9,FALSE)="RR",
            "Disponible",
            "Firmas SAP"
        )
    ),
    "CONSULTAR"
)</f>
        <v>CONSULTAR</v>
      </c>
      <c r="Q1119" s="460"/>
      <c r="S1119" s="460"/>
      <c r="T1119" s="465"/>
      <c r="X1119" s="466"/>
    </row>
    <row r="1120" spans="1:24" s="464" customFormat="1" ht="15" customHeight="1" x14ac:dyDescent="0.25">
      <c r="A1120" s="453"/>
      <c r="B1120" s="454"/>
      <c r="C1120" s="469"/>
      <c r="D1120" s="456"/>
      <c r="E1120" s="457"/>
      <c r="F1120" s="458"/>
      <c r="G1120" s="459"/>
      <c r="H1120" s="460"/>
      <c r="I1120" s="460"/>
      <c r="J1120" s="460"/>
      <c r="K1120" s="517"/>
      <c r="L1120" s="460"/>
      <c r="M1120" s="461"/>
      <c r="N1120" s="461"/>
      <c r="O1120" s="470"/>
      <c r="P1120" s="568" t="str">
        <f>IF(LEFT(B1120,5)="09735",
    IF(ISNA(VLOOKUP(Tabla13[[#This Row],[Apoyo]],'LM SAP'!A:G,1,FALSE)),
        "No Disponible",
        IF(VLOOKUP(Tabla13[[#This Row],[Apoyo]],'LM SAP'!A:AD,9,FALSE)="RR",
            "Disponible",
            "Firmas SAP"
        )
    ),
    "CONSULTAR"
)</f>
        <v>CONSULTAR</v>
      </c>
      <c r="Q1120" s="460"/>
      <c r="S1120" s="460"/>
      <c r="T1120" s="465"/>
      <c r="X1120" s="466"/>
    </row>
    <row r="1121" spans="1:24" s="464" customFormat="1" ht="15" customHeight="1" x14ac:dyDescent="0.25">
      <c r="A1121" s="453"/>
      <c r="B1121" s="454"/>
      <c r="C1121" s="469"/>
      <c r="D1121" s="456"/>
      <c r="E1121" s="457"/>
      <c r="F1121" s="458"/>
      <c r="G1121" s="459"/>
      <c r="H1121" s="460"/>
      <c r="I1121" s="460"/>
      <c r="J1121" s="460"/>
      <c r="K1121" s="517"/>
      <c r="L1121" s="460"/>
      <c r="M1121" s="461"/>
      <c r="N1121" s="461"/>
      <c r="O1121" s="470"/>
      <c r="P1121" s="568" t="str">
        <f>IF(LEFT(B1121,5)="09735",
    IF(ISNA(VLOOKUP(Tabla13[[#This Row],[Apoyo]],'LM SAP'!A:G,1,FALSE)),
        "No Disponible",
        IF(VLOOKUP(Tabla13[[#This Row],[Apoyo]],'LM SAP'!A:AD,9,FALSE)="RR",
            "Disponible",
            "Firmas SAP"
        )
    ),
    "CONSULTAR"
)</f>
        <v>CONSULTAR</v>
      </c>
      <c r="Q1121" s="460"/>
      <c r="S1121" s="460"/>
      <c r="T1121" s="465"/>
      <c r="X1121" s="466"/>
    </row>
    <row r="1122" spans="1:24" s="464" customFormat="1" ht="15" customHeight="1" x14ac:dyDescent="0.25">
      <c r="A1122" s="453"/>
      <c r="B1122" s="454"/>
      <c r="C1122" s="469"/>
      <c r="D1122" s="456"/>
      <c r="E1122" s="457"/>
      <c r="F1122" s="458"/>
      <c r="G1122" s="459"/>
      <c r="H1122" s="460"/>
      <c r="I1122" s="460"/>
      <c r="J1122" s="460"/>
      <c r="K1122" s="517"/>
      <c r="L1122" s="460"/>
      <c r="M1122" s="461"/>
      <c r="N1122" s="461"/>
      <c r="O1122" s="470"/>
      <c r="P1122" s="568" t="str">
        <f>IF(LEFT(B1122,5)="09735",
    IF(ISNA(VLOOKUP(Tabla13[[#This Row],[Apoyo]],'LM SAP'!A:G,1,FALSE)),
        "No Disponible",
        IF(VLOOKUP(Tabla13[[#This Row],[Apoyo]],'LM SAP'!A:AD,9,FALSE)="RR",
            "Disponible",
            "Firmas SAP"
        )
    ),
    "CONSULTAR"
)</f>
        <v>CONSULTAR</v>
      </c>
      <c r="Q1122" s="460"/>
      <c r="S1122" s="460"/>
      <c r="T1122" s="465"/>
      <c r="X1122" s="466"/>
    </row>
    <row r="1123" spans="1:24" s="464" customFormat="1" ht="15" customHeight="1" x14ac:dyDescent="0.25">
      <c r="A1123" s="453"/>
      <c r="B1123" s="454"/>
      <c r="C1123" s="469"/>
      <c r="D1123" s="456"/>
      <c r="E1123" s="457"/>
      <c r="F1123" s="458"/>
      <c r="G1123" s="459"/>
      <c r="H1123" s="460"/>
      <c r="I1123" s="460"/>
      <c r="J1123" s="460"/>
      <c r="K1123" s="517"/>
      <c r="L1123" s="460"/>
      <c r="M1123" s="461"/>
      <c r="N1123" s="461"/>
      <c r="O1123" s="470"/>
      <c r="P1123" s="568" t="str">
        <f>IF(LEFT(B1123,5)="09735",
    IF(ISNA(VLOOKUP(Tabla13[[#This Row],[Apoyo]],'LM SAP'!A:G,1,FALSE)),
        "No Disponible",
        IF(VLOOKUP(Tabla13[[#This Row],[Apoyo]],'LM SAP'!A:AD,9,FALSE)="RR",
            "Disponible",
            "Firmas SAP"
        )
    ),
    "CONSULTAR"
)</f>
        <v>CONSULTAR</v>
      </c>
      <c r="Q1123" s="460"/>
      <c r="S1123" s="460"/>
      <c r="T1123" s="465"/>
      <c r="X1123" s="466"/>
    </row>
    <row r="1124" spans="1:24" s="464" customFormat="1" ht="15" customHeight="1" x14ac:dyDescent="0.25">
      <c r="A1124" s="453"/>
      <c r="B1124" s="454"/>
      <c r="C1124" s="469"/>
      <c r="D1124" s="456"/>
      <c r="E1124" s="457"/>
      <c r="F1124" s="458"/>
      <c r="G1124" s="459"/>
      <c r="H1124" s="460"/>
      <c r="I1124" s="460"/>
      <c r="J1124" s="460"/>
      <c r="K1124" s="517"/>
      <c r="L1124" s="460"/>
      <c r="M1124" s="461"/>
      <c r="N1124" s="461"/>
      <c r="O1124" s="470"/>
      <c r="P1124" s="568" t="str">
        <f>IF(LEFT(B1124,5)="09735",
    IF(ISNA(VLOOKUP(Tabla13[[#This Row],[Apoyo]],'LM SAP'!A:G,1,FALSE)),
        "No Disponible",
        IF(VLOOKUP(Tabla13[[#This Row],[Apoyo]],'LM SAP'!A:AD,9,FALSE)="RR",
            "Disponible",
            "Firmas SAP"
        )
    ),
    "CONSULTAR"
)</f>
        <v>CONSULTAR</v>
      </c>
      <c r="Q1124" s="460"/>
      <c r="S1124" s="460"/>
      <c r="T1124" s="465"/>
      <c r="X1124" s="466"/>
    </row>
    <row r="1125" spans="1:24" s="464" customFormat="1" ht="15" customHeight="1" x14ac:dyDescent="0.25">
      <c r="A1125" s="453"/>
      <c r="B1125" s="454"/>
      <c r="C1125" s="469"/>
      <c r="D1125" s="456"/>
      <c r="E1125" s="457"/>
      <c r="F1125" s="458"/>
      <c r="G1125" s="459"/>
      <c r="H1125" s="460"/>
      <c r="I1125" s="460"/>
      <c r="J1125" s="460"/>
      <c r="K1125" s="517"/>
      <c r="L1125" s="460"/>
      <c r="M1125" s="461"/>
      <c r="N1125" s="461"/>
      <c r="O1125" s="470"/>
      <c r="P1125" s="568" t="str">
        <f>IF(LEFT(B1125,5)="09735",
    IF(ISNA(VLOOKUP(Tabla13[[#This Row],[Apoyo]],'LM SAP'!A:G,1,FALSE)),
        "No Disponible",
        IF(VLOOKUP(Tabla13[[#This Row],[Apoyo]],'LM SAP'!A:AD,9,FALSE)="RR",
            "Disponible",
            "Firmas SAP"
        )
    ),
    "CONSULTAR"
)</f>
        <v>CONSULTAR</v>
      </c>
      <c r="Q1125" s="460"/>
      <c r="S1125" s="460"/>
      <c r="T1125" s="465"/>
      <c r="X1125" s="466"/>
    </row>
    <row r="1126" spans="1:24" s="464" customFormat="1" ht="15" customHeight="1" x14ac:dyDescent="0.25">
      <c r="A1126" s="453"/>
      <c r="B1126" s="454"/>
      <c r="C1126" s="469"/>
      <c r="D1126" s="456"/>
      <c r="E1126" s="457"/>
      <c r="F1126" s="458"/>
      <c r="G1126" s="459"/>
      <c r="H1126" s="460"/>
      <c r="I1126" s="460"/>
      <c r="J1126" s="460"/>
      <c r="K1126" s="517"/>
      <c r="L1126" s="460"/>
      <c r="M1126" s="461"/>
      <c r="N1126" s="461"/>
      <c r="O1126" s="470"/>
      <c r="P1126" s="568" t="str">
        <f>IF(LEFT(B1126,5)="09735",
    IF(ISNA(VLOOKUP(Tabla13[[#This Row],[Apoyo]],'LM SAP'!A:G,1,FALSE)),
        "No Disponible",
        IF(VLOOKUP(Tabla13[[#This Row],[Apoyo]],'LM SAP'!A:AD,9,FALSE)="RR",
            "Disponible",
            "Firmas SAP"
        )
    ),
    "CONSULTAR"
)</f>
        <v>CONSULTAR</v>
      </c>
      <c r="Q1126" s="460"/>
      <c r="S1126" s="460"/>
      <c r="T1126" s="465"/>
      <c r="X1126" s="466"/>
    </row>
    <row r="1127" spans="1:24" s="464" customFormat="1" ht="15" customHeight="1" x14ac:dyDescent="0.25">
      <c r="A1127" s="453"/>
      <c r="B1127" s="454"/>
      <c r="C1127" s="469"/>
      <c r="D1127" s="456"/>
      <c r="E1127" s="457"/>
      <c r="F1127" s="458"/>
      <c r="G1127" s="459"/>
      <c r="H1127" s="460"/>
      <c r="I1127" s="460"/>
      <c r="J1127" s="460"/>
      <c r="K1127" s="517"/>
      <c r="L1127" s="460"/>
      <c r="M1127" s="461"/>
      <c r="N1127" s="461"/>
      <c r="O1127" s="470"/>
      <c r="P1127" s="568" t="str">
        <f>IF(LEFT(B1127,5)="09735",
    IF(ISNA(VLOOKUP(Tabla13[[#This Row],[Apoyo]],'LM SAP'!A:G,1,FALSE)),
        "No Disponible",
        IF(VLOOKUP(Tabla13[[#This Row],[Apoyo]],'LM SAP'!A:AD,9,FALSE)="RR",
            "Disponible",
            "Firmas SAP"
        )
    ),
    "CONSULTAR"
)</f>
        <v>CONSULTAR</v>
      </c>
      <c r="Q1127" s="460"/>
      <c r="S1127" s="460"/>
      <c r="T1127" s="465"/>
      <c r="X1127" s="466"/>
    </row>
    <row r="1128" spans="1:24" s="464" customFormat="1" ht="15" customHeight="1" x14ac:dyDescent="0.25">
      <c r="A1128" s="453"/>
      <c r="B1128" s="454"/>
      <c r="C1128" s="469"/>
      <c r="D1128" s="456"/>
      <c r="E1128" s="457"/>
      <c r="F1128" s="458"/>
      <c r="G1128" s="459"/>
      <c r="H1128" s="460"/>
      <c r="I1128" s="460"/>
      <c r="J1128" s="460"/>
      <c r="K1128" s="517"/>
      <c r="L1128" s="460"/>
      <c r="M1128" s="461"/>
      <c r="N1128" s="461"/>
      <c r="O1128" s="470"/>
      <c r="P1128" s="568" t="str">
        <f>IF(LEFT(B1128,5)="09735",
    IF(ISNA(VLOOKUP(Tabla13[[#This Row],[Apoyo]],'LM SAP'!A:G,1,FALSE)),
        "No Disponible",
        IF(VLOOKUP(Tabla13[[#This Row],[Apoyo]],'LM SAP'!A:AD,9,FALSE)="RR",
            "Disponible",
            "Firmas SAP"
        )
    ),
    "CONSULTAR"
)</f>
        <v>CONSULTAR</v>
      </c>
      <c r="Q1128" s="460"/>
      <c r="S1128" s="460"/>
      <c r="T1128" s="465"/>
      <c r="X1128" s="466"/>
    </row>
    <row r="1129" spans="1:24" s="464" customFormat="1" ht="15" customHeight="1" x14ac:dyDescent="0.25">
      <c r="A1129" s="453"/>
      <c r="B1129" s="454"/>
      <c r="C1129" s="469"/>
      <c r="D1129" s="456"/>
      <c r="E1129" s="457"/>
      <c r="F1129" s="458"/>
      <c r="G1129" s="459"/>
      <c r="H1129" s="460"/>
      <c r="I1129" s="460"/>
      <c r="J1129" s="460"/>
      <c r="K1129" s="517"/>
      <c r="L1129" s="460"/>
      <c r="M1129" s="461"/>
      <c r="N1129" s="461"/>
      <c r="O1129" s="470"/>
      <c r="P1129" s="568" t="str">
        <f>IF(LEFT(B1129,5)="09735",
    IF(ISNA(VLOOKUP(Tabla13[[#This Row],[Apoyo]],'LM SAP'!A:G,1,FALSE)),
        "No Disponible",
        IF(VLOOKUP(Tabla13[[#This Row],[Apoyo]],'LM SAP'!A:AD,9,FALSE)="RR",
            "Disponible",
            "Firmas SAP"
        )
    ),
    "CONSULTAR"
)</f>
        <v>CONSULTAR</v>
      </c>
      <c r="Q1129" s="460"/>
      <c r="S1129" s="460"/>
      <c r="T1129" s="465"/>
      <c r="X1129" s="466"/>
    </row>
    <row r="1130" spans="1:24" s="464" customFormat="1" ht="15" customHeight="1" x14ac:dyDescent="0.25">
      <c r="A1130" s="453"/>
      <c r="B1130" s="454"/>
      <c r="C1130" s="469"/>
      <c r="D1130" s="456"/>
      <c r="E1130" s="457"/>
      <c r="F1130" s="458"/>
      <c r="G1130" s="459"/>
      <c r="H1130" s="460"/>
      <c r="I1130" s="460"/>
      <c r="J1130" s="460"/>
      <c r="K1130" s="517"/>
      <c r="L1130" s="460"/>
      <c r="M1130" s="461"/>
      <c r="N1130" s="461"/>
      <c r="O1130" s="470"/>
      <c r="P1130" s="568" t="str">
        <f>IF(LEFT(B1130,5)="09735",
    IF(ISNA(VLOOKUP(Tabla13[[#This Row],[Apoyo]],'LM SAP'!A:G,1,FALSE)),
        "No Disponible",
        IF(VLOOKUP(Tabla13[[#This Row],[Apoyo]],'LM SAP'!A:AD,9,FALSE)="RR",
            "Disponible",
            "Firmas SAP"
        )
    ),
    "CONSULTAR"
)</f>
        <v>CONSULTAR</v>
      </c>
      <c r="Q1130" s="460"/>
      <c r="S1130" s="460"/>
      <c r="T1130" s="465"/>
      <c r="X1130" s="466"/>
    </row>
    <row r="1131" spans="1:24" s="464" customFormat="1" ht="15" customHeight="1" x14ac:dyDescent="0.25">
      <c r="A1131" s="453"/>
      <c r="B1131" s="454"/>
      <c r="C1131" s="469"/>
      <c r="D1131" s="456"/>
      <c r="E1131" s="457"/>
      <c r="F1131" s="458"/>
      <c r="G1131" s="459"/>
      <c r="H1131" s="460"/>
      <c r="I1131" s="460"/>
      <c r="J1131" s="460"/>
      <c r="K1131" s="517"/>
      <c r="L1131" s="460"/>
      <c r="M1131" s="461"/>
      <c r="N1131" s="461"/>
      <c r="O1131" s="470"/>
      <c r="P1131" s="568" t="str">
        <f>IF(LEFT(B1131,5)="09735",
    IF(ISNA(VLOOKUP(Tabla13[[#This Row],[Apoyo]],'LM SAP'!A:G,1,FALSE)),
        "No Disponible",
        IF(VLOOKUP(Tabla13[[#This Row],[Apoyo]],'LM SAP'!A:AD,9,FALSE)="RR",
            "Disponible",
            "Firmas SAP"
        )
    ),
    "CONSULTAR"
)</f>
        <v>CONSULTAR</v>
      </c>
      <c r="Q1131" s="460"/>
      <c r="S1131" s="460"/>
      <c r="T1131" s="465"/>
      <c r="X1131" s="466"/>
    </row>
    <row r="1132" spans="1:24" s="464" customFormat="1" ht="15" customHeight="1" x14ac:dyDescent="0.25">
      <c r="A1132" s="453"/>
      <c r="B1132" s="454"/>
      <c r="C1132" s="469"/>
      <c r="D1132" s="456"/>
      <c r="E1132" s="457"/>
      <c r="F1132" s="458"/>
      <c r="G1132" s="459"/>
      <c r="H1132" s="460"/>
      <c r="I1132" s="460"/>
      <c r="J1132" s="460"/>
      <c r="K1132" s="517"/>
      <c r="L1132" s="460"/>
      <c r="M1132" s="461"/>
      <c r="N1132" s="461"/>
      <c r="O1132" s="470"/>
      <c r="P1132" s="568" t="str">
        <f>IF(LEFT(B1132,5)="09735",
    IF(ISNA(VLOOKUP(Tabla13[[#This Row],[Apoyo]],'LM SAP'!A:G,1,FALSE)),
        "No Disponible",
        IF(VLOOKUP(Tabla13[[#This Row],[Apoyo]],'LM SAP'!A:AD,9,FALSE)="RR",
            "Disponible",
            "Firmas SAP"
        )
    ),
    "CONSULTAR"
)</f>
        <v>CONSULTAR</v>
      </c>
      <c r="Q1132" s="460"/>
      <c r="S1132" s="460"/>
      <c r="T1132" s="465"/>
      <c r="X1132" s="466"/>
    </row>
    <row r="1133" spans="1:24" s="464" customFormat="1" ht="15" customHeight="1" x14ac:dyDescent="0.25">
      <c r="A1133" s="453"/>
      <c r="B1133" s="454"/>
      <c r="C1133" s="469"/>
      <c r="D1133" s="456"/>
      <c r="E1133" s="457"/>
      <c r="F1133" s="458"/>
      <c r="G1133" s="459"/>
      <c r="H1133" s="460"/>
      <c r="I1133" s="460"/>
      <c r="J1133" s="460"/>
      <c r="K1133" s="517"/>
      <c r="L1133" s="460"/>
      <c r="M1133" s="461"/>
      <c r="N1133" s="461"/>
      <c r="O1133" s="470"/>
      <c r="P1133" s="568" t="str">
        <f>IF(LEFT(B1133,5)="09735",
    IF(ISNA(VLOOKUP(Tabla13[[#This Row],[Apoyo]],'LM SAP'!A:G,1,FALSE)),
        "No Disponible",
        IF(VLOOKUP(Tabla13[[#This Row],[Apoyo]],'LM SAP'!A:AD,9,FALSE)="RR",
            "Disponible",
            "Firmas SAP"
        )
    ),
    "CONSULTAR"
)</f>
        <v>CONSULTAR</v>
      </c>
      <c r="Q1133" s="460"/>
      <c r="S1133" s="460"/>
      <c r="T1133" s="465"/>
      <c r="X1133" s="466"/>
    </row>
    <row r="1134" spans="1:24" s="464" customFormat="1" ht="15" customHeight="1" x14ac:dyDescent="0.25">
      <c r="A1134" s="453"/>
      <c r="B1134" s="454"/>
      <c r="C1134" s="469"/>
      <c r="D1134" s="456"/>
      <c r="E1134" s="457"/>
      <c r="F1134" s="458"/>
      <c r="G1134" s="459"/>
      <c r="H1134" s="460"/>
      <c r="I1134" s="460"/>
      <c r="J1134" s="460"/>
      <c r="K1134" s="517"/>
      <c r="L1134" s="460"/>
      <c r="M1134" s="461"/>
      <c r="N1134" s="461"/>
      <c r="O1134" s="470"/>
      <c r="P1134" s="568" t="str">
        <f>IF(LEFT(B1134,5)="09735",
    IF(ISNA(VLOOKUP(Tabla13[[#This Row],[Apoyo]],'LM SAP'!A:G,1,FALSE)),
        "No Disponible",
        IF(VLOOKUP(Tabla13[[#This Row],[Apoyo]],'LM SAP'!A:AD,9,FALSE)="RR",
            "Disponible",
            "Firmas SAP"
        )
    ),
    "CONSULTAR"
)</f>
        <v>CONSULTAR</v>
      </c>
      <c r="Q1134" s="460"/>
      <c r="S1134" s="460"/>
      <c r="T1134" s="465"/>
      <c r="X1134" s="466"/>
    </row>
    <row r="1135" spans="1:24" s="464" customFormat="1" ht="15" customHeight="1" x14ac:dyDescent="0.25">
      <c r="A1135" s="453"/>
      <c r="B1135" s="454"/>
      <c r="C1135" s="469"/>
      <c r="D1135" s="456"/>
      <c r="E1135" s="457"/>
      <c r="F1135" s="458"/>
      <c r="G1135" s="459"/>
      <c r="H1135" s="460"/>
      <c r="I1135" s="460"/>
      <c r="J1135" s="460"/>
      <c r="K1135" s="517"/>
      <c r="L1135" s="460"/>
      <c r="M1135" s="461"/>
      <c r="N1135" s="461"/>
      <c r="O1135" s="470"/>
      <c r="P1135" s="568" t="str">
        <f>IF(LEFT(B1135,5)="09735",
    IF(ISNA(VLOOKUP(Tabla13[[#This Row],[Apoyo]],'LM SAP'!A:G,1,FALSE)),
        "No Disponible",
        IF(VLOOKUP(Tabla13[[#This Row],[Apoyo]],'LM SAP'!A:AD,9,FALSE)="RR",
            "Disponible",
            "Firmas SAP"
        )
    ),
    "CONSULTAR"
)</f>
        <v>CONSULTAR</v>
      </c>
      <c r="Q1135" s="460"/>
      <c r="S1135" s="460"/>
      <c r="T1135" s="465"/>
      <c r="X1135" s="466"/>
    </row>
    <row r="1136" spans="1:24" s="464" customFormat="1" ht="15" customHeight="1" x14ac:dyDescent="0.25">
      <c r="A1136" s="453"/>
      <c r="B1136" s="454"/>
      <c r="C1136" s="469"/>
      <c r="D1136" s="456"/>
      <c r="E1136" s="457"/>
      <c r="F1136" s="458"/>
      <c r="G1136" s="459"/>
      <c r="H1136" s="460"/>
      <c r="I1136" s="460"/>
      <c r="J1136" s="460"/>
      <c r="K1136" s="517"/>
      <c r="L1136" s="460"/>
      <c r="M1136" s="461"/>
      <c r="N1136" s="461"/>
      <c r="O1136" s="470"/>
      <c r="P1136" s="568" t="str">
        <f>IF(LEFT(B1136,5)="09735",
    IF(ISNA(VLOOKUP(Tabla13[[#This Row],[Apoyo]],'LM SAP'!A:G,1,FALSE)),
        "No Disponible",
        IF(VLOOKUP(Tabla13[[#This Row],[Apoyo]],'LM SAP'!A:AD,9,FALSE)="RR",
            "Disponible",
            "Firmas SAP"
        )
    ),
    "CONSULTAR"
)</f>
        <v>CONSULTAR</v>
      </c>
      <c r="Q1136" s="460"/>
      <c r="S1136" s="460"/>
      <c r="T1136" s="465"/>
      <c r="X1136" s="466"/>
    </row>
    <row r="1137" spans="1:24" s="464" customFormat="1" ht="15" customHeight="1" x14ac:dyDescent="0.25">
      <c r="A1137" s="453"/>
      <c r="B1137" s="454"/>
      <c r="C1137" s="469"/>
      <c r="D1137" s="456"/>
      <c r="E1137" s="457"/>
      <c r="F1137" s="458"/>
      <c r="G1137" s="459"/>
      <c r="H1137" s="460"/>
      <c r="I1137" s="460"/>
      <c r="J1137" s="460"/>
      <c r="K1137" s="517"/>
      <c r="L1137" s="460"/>
      <c r="M1137" s="461"/>
      <c r="N1137" s="461"/>
      <c r="O1137" s="470"/>
      <c r="P1137" s="568" t="str">
        <f>IF(LEFT(B1137,5)="09735",
    IF(ISNA(VLOOKUP(Tabla13[[#This Row],[Apoyo]],'LM SAP'!A:G,1,FALSE)),
        "No Disponible",
        IF(VLOOKUP(Tabla13[[#This Row],[Apoyo]],'LM SAP'!A:AD,9,FALSE)="RR",
            "Disponible",
            "Firmas SAP"
        )
    ),
    "CONSULTAR"
)</f>
        <v>CONSULTAR</v>
      </c>
      <c r="Q1137" s="460"/>
      <c r="S1137" s="460"/>
      <c r="T1137" s="465"/>
      <c r="X1137" s="466"/>
    </row>
    <row r="1138" spans="1:24" s="464" customFormat="1" ht="15" customHeight="1" x14ac:dyDescent="0.25">
      <c r="A1138" s="453"/>
      <c r="B1138" s="454"/>
      <c r="C1138" s="469"/>
      <c r="D1138" s="456"/>
      <c r="E1138" s="457"/>
      <c r="F1138" s="458"/>
      <c r="G1138" s="459"/>
      <c r="H1138" s="460"/>
      <c r="I1138" s="460"/>
      <c r="J1138" s="460"/>
      <c r="K1138" s="517"/>
      <c r="L1138" s="460"/>
      <c r="M1138" s="461"/>
      <c r="N1138" s="461"/>
      <c r="O1138" s="470"/>
      <c r="P1138" s="568" t="str">
        <f>IF(LEFT(B1138,5)="09735",
    IF(ISNA(VLOOKUP(Tabla13[[#This Row],[Apoyo]],'LM SAP'!A:G,1,FALSE)),
        "No Disponible",
        IF(VLOOKUP(Tabla13[[#This Row],[Apoyo]],'LM SAP'!A:AD,9,FALSE)="RR",
            "Disponible",
            "Firmas SAP"
        )
    ),
    "CONSULTAR"
)</f>
        <v>CONSULTAR</v>
      </c>
      <c r="Q1138" s="460"/>
      <c r="S1138" s="460"/>
      <c r="T1138" s="465"/>
      <c r="X1138" s="466"/>
    </row>
    <row r="1139" spans="1:24" s="464" customFormat="1" ht="15" customHeight="1" x14ac:dyDescent="0.25">
      <c r="A1139" s="453"/>
      <c r="B1139" s="454"/>
      <c r="C1139" s="469"/>
      <c r="D1139" s="456"/>
      <c r="E1139" s="457"/>
      <c r="F1139" s="458"/>
      <c r="G1139" s="459"/>
      <c r="H1139" s="460"/>
      <c r="I1139" s="460"/>
      <c r="J1139" s="460"/>
      <c r="K1139" s="517"/>
      <c r="L1139" s="460"/>
      <c r="M1139" s="461"/>
      <c r="N1139" s="461"/>
      <c r="O1139" s="470"/>
      <c r="P1139" s="568" t="str">
        <f>IF(LEFT(B1139,5)="09735",
    IF(ISNA(VLOOKUP(Tabla13[[#This Row],[Apoyo]],'LM SAP'!A:G,1,FALSE)),
        "No Disponible",
        IF(VLOOKUP(Tabla13[[#This Row],[Apoyo]],'LM SAP'!A:AD,9,FALSE)="RR",
            "Disponible",
            "Firmas SAP"
        )
    ),
    "CONSULTAR"
)</f>
        <v>CONSULTAR</v>
      </c>
      <c r="Q1139" s="460"/>
      <c r="S1139" s="460"/>
      <c r="T1139" s="465"/>
      <c r="X1139" s="466"/>
    </row>
    <row r="1140" spans="1:24" s="464" customFormat="1" ht="15" customHeight="1" x14ac:dyDescent="0.25">
      <c r="A1140" s="453"/>
      <c r="B1140" s="454"/>
      <c r="C1140" s="469"/>
      <c r="D1140" s="456"/>
      <c r="E1140" s="457"/>
      <c r="F1140" s="458"/>
      <c r="G1140" s="459"/>
      <c r="H1140" s="460"/>
      <c r="I1140" s="460"/>
      <c r="J1140" s="460"/>
      <c r="K1140" s="517"/>
      <c r="L1140" s="460"/>
      <c r="M1140" s="461"/>
      <c r="N1140" s="461"/>
      <c r="O1140" s="470"/>
      <c r="P1140" s="568" t="str">
        <f>IF(LEFT(B1140,5)="09735",
    IF(ISNA(VLOOKUP(Tabla13[[#This Row],[Apoyo]],'LM SAP'!A:G,1,FALSE)),
        "No Disponible",
        IF(VLOOKUP(Tabla13[[#This Row],[Apoyo]],'LM SAP'!A:AD,9,FALSE)="RR",
            "Disponible",
            "Firmas SAP"
        )
    ),
    "CONSULTAR"
)</f>
        <v>CONSULTAR</v>
      </c>
      <c r="Q1140" s="460"/>
      <c r="S1140" s="460"/>
      <c r="T1140" s="465"/>
      <c r="X1140" s="466"/>
    </row>
    <row r="1141" spans="1:24" s="464" customFormat="1" ht="15" customHeight="1" x14ac:dyDescent="0.25">
      <c r="A1141" s="453"/>
      <c r="B1141" s="454"/>
      <c r="C1141" s="469"/>
      <c r="D1141" s="456"/>
      <c r="E1141" s="457"/>
      <c r="F1141" s="458"/>
      <c r="G1141" s="459"/>
      <c r="H1141" s="460"/>
      <c r="I1141" s="460"/>
      <c r="J1141" s="460"/>
      <c r="K1141" s="517"/>
      <c r="L1141" s="460"/>
      <c r="M1141" s="461"/>
      <c r="N1141" s="461"/>
      <c r="O1141" s="470"/>
      <c r="P1141" s="568" t="str">
        <f>IF(LEFT(B1141,5)="09735",
    IF(ISNA(VLOOKUP(Tabla13[[#This Row],[Apoyo]],'LM SAP'!A:G,1,FALSE)),
        "No Disponible",
        IF(VLOOKUP(Tabla13[[#This Row],[Apoyo]],'LM SAP'!A:AD,9,FALSE)="RR",
            "Disponible",
            "Firmas SAP"
        )
    ),
    "CONSULTAR"
)</f>
        <v>CONSULTAR</v>
      </c>
      <c r="Q1141" s="460"/>
      <c r="S1141" s="460"/>
      <c r="T1141" s="465"/>
      <c r="X1141" s="466"/>
    </row>
    <row r="1142" spans="1:24" s="464" customFormat="1" ht="15" customHeight="1" x14ac:dyDescent="0.25">
      <c r="A1142" s="453"/>
      <c r="B1142" s="454"/>
      <c r="C1142" s="469"/>
      <c r="D1142" s="456"/>
      <c r="E1142" s="457"/>
      <c r="F1142" s="458"/>
      <c r="G1142" s="459"/>
      <c r="H1142" s="460"/>
      <c r="I1142" s="460"/>
      <c r="J1142" s="460"/>
      <c r="K1142" s="517"/>
      <c r="L1142" s="460"/>
      <c r="M1142" s="461"/>
      <c r="N1142" s="461"/>
      <c r="O1142" s="470"/>
      <c r="P1142" s="568" t="str">
        <f>IF(LEFT(B1142,5)="09735",
    IF(ISNA(VLOOKUP(Tabla13[[#This Row],[Apoyo]],'LM SAP'!A:G,1,FALSE)),
        "No Disponible",
        IF(VLOOKUP(Tabla13[[#This Row],[Apoyo]],'LM SAP'!A:AD,9,FALSE)="RR",
            "Disponible",
            "Firmas SAP"
        )
    ),
    "CONSULTAR"
)</f>
        <v>CONSULTAR</v>
      </c>
      <c r="Q1142" s="460"/>
      <c r="S1142" s="460"/>
      <c r="T1142" s="465"/>
      <c r="X1142" s="466"/>
    </row>
    <row r="1143" spans="1:24" s="464" customFormat="1" ht="15" customHeight="1" x14ac:dyDescent="0.25">
      <c r="A1143" s="453"/>
      <c r="B1143" s="454"/>
      <c r="C1143" s="469"/>
      <c r="D1143" s="456"/>
      <c r="E1143" s="457"/>
      <c r="F1143" s="458"/>
      <c r="G1143" s="459"/>
      <c r="H1143" s="460"/>
      <c r="I1143" s="460"/>
      <c r="J1143" s="460"/>
      <c r="K1143" s="517"/>
      <c r="L1143" s="460"/>
      <c r="M1143" s="461"/>
      <c r="N1143" s="461"/>
      <c r="O1143" s="470"/>
      <c r="P1143" s="568" t="str">
        <f>IF(LEFT(B1143,5)="09735",
    IF(ISNA(VLOOKUP(Tabla13[[#This Row],[Apoyo]],'LM SAP'!A:G,1,FALSE)),
        "No Disponible",
        IF(VLOOKUP(Tabla13[[#This Row],[Apoyo]],'LM SAP'!A:AD,9,FALSE)="RR",
            "Disponible",
            "Firmas SAP"
        )
    ),
    "CONSULTAR"
)</f>
        <v>CONSULTAR</v>
      </c>
      <c r="Q1143" s="460"/>
      <c r="S1143" s="460"/>
      <c r="T1143" s="465"/>
      <c r="X1143" s="466"/>
    </row>
    <row r="1144" spans="1:24" s="464" customFormat="1" ht="15" customHeight="1" x14ac:dyDescent="0.25">
      <c r="A1144" s="453"/>
      <c r="B1144" s="454"/>
      <c r="C1144" s="469"/>
      <c r="D1144" s="456"/>
      <c r="E1144" s="457"/>
      <c r="F1144" s="458"/>
      <c r="G1144" s="459"/>
      <c r="H1144" s="460"/>
      <c r="I1144" s="460"/>
      <c r="J1144" s="460"/>
      <c r="K1144" s="517"/>
      <c r="L1144" s="460"/>
      <c r="M1144" s="461"/>
      <c r="N1144" s="461"/>
      <c r="O1144" s="470"/>
      <c r="P1144" s="568" t="str">
        <f>IF(LEFT(B1144,5)="09735",
    IF(ISNA(VLOOKUP(Tabla13[[#This Row],[Apoyo]],'LM SAP'!A:G,1,FALSE)),
        "No Disponible",
        IF(VLOOKUP(Tabla13[[#This Row],[Apoyo]],'LM SAP'!A:AD,9,FALSE)="RR",
            "Disponible",
            "Firmas SAP"
        )
    ),
    "CONSULTAR"
)</f>
        <v>CONSULTAR</v>
      </c>
      <c r="Q1144" s="460"/>
      <c r="S1144" s="460"/>
      <c r="T1144" s="465"/>
      <c r="X1144" s="466"/>
    </row>
    <row r="1145" spans="1:24" s="464" customFormat="1" ht="15" customHeight="1" x14ac:dyDescent="0.25">
      <c r="A1145" s="453"/>
      <c r="B1145" s="454"/>
      <c r="C1145" s="469"/>
      <c r="D1145" s="456"/>
      <c r="E1145" s="457"/>
      <c r="F1145" s="458"/>
      <c r="G1145" s="459"/>
      <c r="H1145" s="460"/>
      <c r="I1145" s="460"/>
      <c r="J1145" s="460"/>
      <c r="K1145" s="517"/>
      <c r="L1145" s="460"/>
      <c r="M1145" s="461"/>
      <c r="N1145" s="461"/>
      <c r="O1145" s="470"/>
      <c r="P1145" s="568" t="str">
        <f>IF(LEFT(B1145,5)="09735",
    IF(ISNA(VLOOKUP(Tabla13[[#This Row],[Apoyo]],'LM SAP'!A:G,1,FALSE)),
        "No Disponible",
        IF(VLOOKUP(Tabla13[[#This Row],[Apoyo]],'LM SAP'!A:AD,9,FALSE)="RR",
            "Disponible",
            "Firmas SAP"
        )
    ),
    "CONSULTAR"
)</f>
        <v>CONSULTAR</v>
      </c>
      <c r="Q1145" s="460"/>
      <c r="S1145" s="460"/>
      <c r="T1145" s="465"/>
      <c r="X1145" s="466"/>
    </row>
    <row r="1146" spans="1:24" s="464" customFormat="1" ht="15" customHeight="1" x14ac:dyDescent="0.25">
      <c r="A1146" s="453"/>
      <c r="B1146" s="454"/>
      <c r="C1146" s="469"/>
      <c r="D1146" s="456"/>
      <c r="E1146" s="457"/>
      <c r="F1146" s="458"/>
      <c r="G1146" s="459"/>
      <c r="H1146" s="460"/>
      <c r="I1146" s="460"/>
      <c r="J1146" s="460"/>
      <c r="K1146" s="517"/>
      <c r="L1146" s="460"/>
      <c r="M1146" s="461"/>
      <c r="N1146" s="461"/>
      <c r="O1146" s="470"/>
      <c r="P1146" s="568" t="str">
        <f>IF(LEFT(B1146,5)="09735",
    IF(ISNA(VLOOKUP(Tabla13[[#This Row],[Apoyo]],'LM SAP'!A:G,1,FALSE)),
        "No Disponible",
        IF(VLOOKUP(Tabla13[[#This Row],[Apoyo]],'LM SAP'!A:AD,9,FALSE)="RR",
            "Disponible",
            "Firmas SAP"
        )
    ),
    "CONSULTAR"
)</f>
        <v>CONSULTAR</v>
      </c>
      <c r="Q1146" s="460"/>
      <c r="S1146" s="460"/>
      <c r="T1146" s="465"/>
      <c r="X1146" s="466"/>
    </row>
    <row r="1147" spans="1:24" s="464" customFormat="1" ht="15" customHeight="1" x14ac:dyDescent="0.25">
      <c r="A1147" s="453"/>
      <c r="B1147" s="454"/>
      <c r="C1147" s="469"/>
      <c r="D1147" s="456"/>
      <c r="E1147" s="457"/>
      <c r="F1147" s="458"/>
      <c r="G1147" s="459"/>
      <c r="H1147" s="460"/>
      <c r="I1147" s="460"/>
      <c r="J1147" s="460"/>
      <c r="K1147" s="517"/>
      <c r="L1147" s="460"/>
      <c r="M1147" s="461"/>
      <c r="N1147" s="461"/>
      <c r="O1147" s="470"/>
      <c r="P1147" s="568" t="str">
        <f>IF(LEFT(B1147,5)="09735",
    IF(ISNA(VLOOKUP(Tabla13[[#This Row],[Apoyo]],'LM SAP'!A:G,1,FALSE)),
        "No Disponible",
        IF(VLOOKUP(Tabla13[[#This Row],[Apoyo]],'LM SAP'!A:AD,9,FALSE)="RR",
            "Disponible",
            "Firmas SAP"
        )
    ),
    "CONSULTAR"
)</f>
        <v>CONSULTAR</v>
      </c>
      <c r="Q1147" s="460"/>
      <c r="S1147" s="460"/>
      <c r="T1147" s="465"/>
      <c r="X1147" s="466"/>
    </row>
    <row r="1148" spans="1:24" s="464" customFormat="1" ht="15" customHeight="1" x14ac:dyDescent="0.25">
      <c r="A1148" s="453"/>
      <c r="B1148" s="454"/>
      <c r="C1148" s="469"/>
      <c r="D1148" s="456"/>
      <c r="E1148" s="457"/>
      <c r="F1148" s="458"/>
      <c r="G1148" s="459"/>
      <c r="H1148" s="460"/>
      <c r="I1148" s="460"/>
      <c r="J1148" s="460"/>
      <c r="K1148" s="517"/>
      <c r="L1148" s="460"/>
      <c r="M1148" s="461"/>
      <c r="N1148" s="461"/>
      <c r="O1148" s="470"/>
      <c r="P1148" s="568" t="str">
        <f>IF(LEFT(B1148,5)="09735",
    IF(ISNA(VLOOKUP(Tabla13[[#This Row],[Apoyo]],'LM SAP'!A:G,1,FALSE)),
        "No Disponible",
        IF(VLOOKUP(Tabla13[[#This Row],[Apoyo]],'LM SAP'!A:AD,9,FALSE)="RR",
            "Disponible",
            "Firmas SAP"
        )
    ),
    "CONSULTAR"
)</f>
        <v>CONSULTAR</v>
      </c>
      <c r="Q1148" s="460"/>
      <c r="S1148" s="460"/>
      <c r="T1148" s="465"/>
      <c r="X1148" s="466"/>
    </row>
    <row r="1149" spans="1:24" s="464" customFormat="1" ht="15" customHeight="1" x14ac:dyDescent="0.25">
      <c r="A1149" s="453"/>
      <c r="B1149" s="454"/>
      <c r="C1149" s="469"/>
      <c r="D1149" s="456"/>
      <c r="E1149" s="457"/>
      <c r="F1149" s="458"/>
      <c r="G1149" s="459"/>
      <c r="H1149" s="460"/>
      <c r="I1149" s="460"/>
      <c r="J1149" s="460"/>
      <c r="K1149" s="517"/>
      <c r="L1149" s="460"/>
      <c r="M1149" s="461"/>
      <c r="N1149" s="461"/>
      <c r="O1149" s="470"/>
      <c r="P1149" s="568" t="str">
        <f>IF(LEFT(B1149,5)="09735",
    IF(ISNA(VLOOKUP(Tabla13[[#This Row],[Apoyo]],'LM SAP'!A:G,1,FALSE)),
        "No Disponible",
        IF(VLOOKUP(Tabla13[[#This Row],[Apoyo]],'LM SAP'!A:AD,9,FALSE)="RR",
            "Disponible",
            "Firmas SAP"
        )
    ),
    "CONSULTAR"
)</f>
        <v>CONSULTAR</v>
      </c>
      <c r="Q1149" s="460"/>
      <c r="S1149" s="460"/>
      <c r="T1149" s="465"/>
      <c r="X1149" s="466"/>
    </row>
    <row r="1150" spans="1:24" s="464" customFormat="1" ht="15" customHeight="1" x14ac:dyDescent="0.25">
      <c r="A1150" s="453"/>
      <c r="B1150" s="454"/>
      <c r="C1150" s="469"/>
      <c r="D1150" s="456"/>
      <c r="E1150" s="457"/>
      <c r="F1150" s="458"/>
      <c r="G1150" s="459"/>
      <c r="H1150" s="460"/>
      <c r="I1150" s="460"/>
      <c r="J1150" s="460"/>
      <c r="K1150" s="517"/>
      <c r="L1150" s="460"/>
      <c r="M1150" s="461"/>
      <c r="N1150" s="461"/>
      <c r="O1150" s="470"/>
      <c r="P1150" s="568" t="str">
        <f>IF(LEFT(B1150,5)="09735",
    IF(ISNA(VLOOKUP(Tabla13[[#This Row],[Apoyo]],'LM SAP'!A:G,1,FALSE)),
        "No Disponible",
        IF(VLOOKUP(Tabla13[[#This Row],[Apoyo]],'LM SAP'!A:AD,9,FALSE)="RR",
            "Disponible",
            "Firmas SAP"
        )
    ),
    "CONSULTAR"
)</f>
        <v>CONSULTAR</v>
      </c>
      <c r="Q1150" s="460"/>
      <c r="S1150" s="460"/>
      <c r="T1150" s="465"/>
      <c r="X1150" s="466"/>
    </row>
    <row r="1151" spans="1:24" s="464" customFormat="1" ht="15" customHeight="1" x14ac:dyDescent="0.25">
      <c r="A1151" s="453"/>
      <c r="B1151" s="454"/>
      <c r="C1151" s="469"/>
      <c r="D1151" s="456"/>
      <c r="E1151" s="457"/>
      <c r="F1151" s="458"/>
      <c r="G1151" s="459"/>
      <c r="H1151" s="460"/>
      <c r="I1151" s="460"/>
      <c r="J1151" s="460"/>
      <c r="K1151" s="517"/>
      <c r="L1151" s="460"/>
      <c r="M1151" s="461"/>
      <c r="N1151" s="461"/>
      <c r="O1151" s="470"/>
      <c r="P1151" s="568" t="str">
        <f>IF(LEFT(B1151,5)="09735",
    IF(ISNA(VLOOKUP(Tabla13[[#This Row],[Apoyo]],'LM SAP'!A:G,1,FALSE)),
        "No Disponible",
        IF(VLOOKUP(Tabla13[[#This Row],[Apoyo]],'LM SAP'!A:AD,9,FALSE)="RR",
            "Disponible",
            "Firmas SAP"
        )
    ),
    "CONSULTAR"
)</f>
        <v>CONSULTAR</v>
      </c>
      <c r="Q1151" s="460"/>
      <c r="S1151" s="460"/>
      <c r="T1151" s="465"/>
      <c r="X1151" s="466"/>
    </row>
    <row r="1152" spans="1:24" s="464" customFormat="1" ht="15" customHeight="1" x14ac:dyDescent="0.25">
      <c r="A1152" s="453"/>
      <c r="B1152" s="454"/>
      <c r="C1152" s="469"/>
      <c r="D1152" s="456"/>
      <c r="E1152" s="457"/>
      <c r="F1152" s="458"/>
      <c r="G1152" s="459"/>
      <c r="H1152" s="460"/>
      <c r="I1152" s="460"/>
      <c r="J1152" s="460"/>
      <c r="K1152" s="517"/>
      <c r="L1152" s="460"/>
      <c r="M1152" s="461"/>
      <c r="N1152" s="461"/>
      <c r="O1152" s="470"/>
      <c r="P1152" s="568" t="str">
        <f>IF(LEFT(B1152,5)="09735",
    IF(ISNA(VLOOKUP(Tabla13[[#This Row],[Apoyo]],'LM SAP'!A:G,1,FALSE)),
        "No Disponible",
        IF(VLOOKUP(Tabla13[[#This Row],[Apoyo]],'LM SAP'!A:AD,9,FALSE)="RR",
            "Disponible",
            "Firmas SAP"
        )
    ),
    "CONSULTAR"
)</f>
        <v>CONSULTAR</v>
      </c>
      <c r="Q1152" s="460"/>
      <c r="S1152" s="460"/>
      <c r="T1152" s="465"/>
      <c r="X1152" s="466"/>
    </row>
    <row r="1153" spans="1:24" s="464" customFormat="1" ht="15" customHeight="1" x14ac:dyDescent="0.25">
      <c r="A1153" s="453"/>
      <c r="B1153" s="454"/>
      <c r="C1153" s="469"/>
      <c r="D1153" s="456"/>
      <c r="E1153" s="457"/>
      <c r="F1153" s="458"/>
      <c r="G1153" s="459"/>
      <c r="H1153" s="460"/>
      <c r="I1153" s="460"/>
      <c r="J1153" s="460"/>
      <c r="K1153" s="517"/>
      <c r="L1153" s="460"/>
      <c r="M1153" s="461"/>
      <c r="N1153" s="461"/>
      <c r="O1153" s="470"/>
      <c r="P1153" s="568" t="str">
        <f>IF(LEFT(B1153,5)="09735",
    IF(ISNA(VLOOKUP(Tabla13[[#This Row],[Apoyo]],'LM SAP'!A:G,1,FALSE)),
        "No Disponible",
        IF(VLOOKUP(Tabla13[[#This Row],[Apoyo]],'LM SAP'!A:AD,9,FALSE)="RR",
            "Disponible",
            "Firmas SAP"
        )
    ),
    "CONSULTAR"
)</f>
        <v>CONSULTAR</v>
      </c>
      <c r="Q1153" s="460"/>
      <c r="S1153" s="460"/>
      <c r="T1153" s="465"/>
      <c r="X1153" s="466"/>
    </row>
    <row r="1154" spans="1:24" s="464" customFormat="1" ht="15" customHeight="1" x14ac:dyDescent="0.25">
      <c r="A1154" s="453"/>
      <c r="B1154" s="454"/>
      <c r="C1154" s="469"/>
      <c r="D1154" s="456"/>
      <c r="E1154" s="457"/>
      <c r="F1154" s="458"/>
      <c r="G1154" s="459"/>
      <c r="H1154" s="460"/>
      <c r="I1154" s="460"/>
      <c r="J1154" s="460"/>
      <c r="K1154" s="517"/>
      <c r="L1154" s="460"/>
      <c r="M1154" s="461"/>
      <c r="N1154" s="461"/>
      <c r="O1154" s="470"/>
      <c r="P1154" s="568" t="str">
        <f>IF(LEFT(B1154,5)="09735",
    IF(ISNA(VLOOKUP(Tabla13[[#This Row],[Apoyo]],'LM SAP'!A:G,1,FALSE)),
        "No Disponible",
        IF(VLOOKUP(Tabla13[[#This Row],[Apoyo]],'LM SAP'!A:AD,9,FALSE)="RR",
            "Disponible",
            "Firmas SAP"
        )
    ),
    "CONSULTAR"
)</f>
        <v>CONSULTAR</v>
      </c>
      <c r="Q1154" s="460"/>
      <c r="S1154" s="460"/>
      <c r="T1154" s="465"/>
      <c r="X1154" s="466"/>
    </row>
    <row r="1155" spans="1:24" s="464" customFormat="1" ht="15" customHeight="1" x14ac:dyDescent="0.25">
      <c r="A1155" s="453"/>
      <c r="B1155" s="454"/>
      <c r="C1155" s="469"/>
      <c r="D1155" s="456"/>
      <c r="E1155" s="457"/>
      <c r="F1155" s="458"/>
      <c r="G1155" s="459"/>
      <c r="H1155" s="460"/>
      <c r="I1155" s="460"/>
      <c r="J1155" s="460"/>
      <c r="K1155" s="517"/>
      <c r="L1155" s="460"/>
      <c r="M1155" s="461"/>
      <c r="N1155" s="461"/>
      <c r="O1155" s="470"/>
      <c r="P1155" s="568" t="str">
        <f>IF(LEFT(B1155,5)="09735",
    IF(ISNA(VLOOKUP(Tabla13[[#This Row],[Apoyo]],'LM SAP'!A:G,1,FALSE)),
        "No Disponible",
        IF(VLOOKUP(Tabla13[[#This Row],[Apoyo]],'LM SAP'!A:AD,9,FALSE)="RR",
            "Disponible",
            "Firmas SAP"
        )
    ),
    "CONSULTAR"
)</f>
        <v>CONSULTAR</v>
      </c>
      <c r="Q1155" s="460"/>
      <c r="S1155" s="460"/>
      <c r="T1155" s="465"/>
      <c r="X1155" s="466"/>
    </row>
    <row r="1156" spans="1:24" s="464" customFormat="1" ht="15" customHeight="1" x14ac:dyDescent="0.25">
      <c r="A1156" s="453"/>
      <c r="B1156" s="454"/>
      <c r="C1156" s="469"/>
      <c r="D1156" s="456"/>
      <c r="E1156" s="457"/>
      <c r="F1156" s="458"/>
      <c r="G1156" s="459"/>
      <c r="H1156" s="460"/>
      <c r="I1156" s="460"/>
      <c r="J1156" s="460"/>
      <c r="K1156" s="517"/>
      <c r="L1156" s="460"/>
      <c r="M1156" s="461"/>
      <c r="N1156" s="461"/>
      <c r="O1156" s="470"/>
      <c r="P1156" s="568" t="str">
        <f>IF(LEFT(B1156,5)="09735",
    IF(ISNA(VLOOKUP(Tabla13[[#This Row],[Apoyo]],'LM SAP'!A:G,1,FALSE)),
        "No Disponible",
        IF(VLOOKUP(Tabla13[[#This Row],[Apoyo]],'LM SAP'!A:AD,9,FALSE)="RR",
            "Disponible",
            "Firmas SAP"
        )
    ),
    "CONSULTAR"
)</f>
        <v>CONSULTAR</v>
      </c>
      <c r="Q1156" s="460"/>
      <c r="S1156" s="460"/>
      <c r="T1156" s="465"/>
      <c r="X1156" s="466"/>
    </row>
    <row r="1157" spans="1:24" s="464" customFormat="1" ht="15" customHeight="1" x14ac:dyDescent="0.25">
      <c r="A1157" s="453"/>
      <c r="B1157" s="454"/>
      <c r="C1157" s="469"/>
      <c r="D1157" s="456"/>
      <c r="E1157" s="457"/>
      <c r="F1157" s="458"/>
      <c r="G1157" s="459"/>
      <c r="H1157" s="460"/>
      <c r="I1157" s="460"/>
      <c r="J1157" s="460"/>
      <c r="K1157" s="517"/>
      <c r="L1157" s="460"/>
      <c r="M1157" s="461"/>
      <c r="N1157" s="461"/>
      <c r="O1157" s="470"/>
      <c r="P1157" s="568" t="str">
        <f>IF(LEFT(B1157,5)="09735",
    IF(ISNA(VLOOKUP(Tabla13[[#This Row],[Apoyo]],'LM SAP'!A:G,1,FALSE)),
        "No Disponible",
        IF(VLOOKUP(Tabla13[[#This Row],[Apoyo]],'LM SAP'!A:AD,9,FALSE)="RR",
            "Disponible",
            "Firmas SAP"
        )
    ),
    "CONSULTAR"
)</f>
        <v>CONSULTAR</v>
      </c>
      <c r="Q1157" s="460"/>
      <c r="S1157" s="460"/>
      <c r="T1157" s="465"/>
      <c r="X1157" s="466"/>
    </row>
    <row r="1158" spans="1:24" s="464" customFormat="1" ht="15" customHeight="1" x14ac:dyDescent="0.25">
      <c r="A1158" s="453"/>
      <c r="B1158" s="454"/>
      <c r="C1158" s="469"/>
      <c r="D1158" s="456"/>
      <c r="E1158" s="457"/>
      <c r="F1158" s="458"/>
      <c r="G1158" s="459"/>
      <c r="H1158" s="460"/>
      <c r="I1158" s="460"/>
      <c r="J1158" s="460"/>
      <c r="K1158" s="517"/>
      <c r="L1158" s="460"/>
      <c r="M1158" s="461"/>
      <c r="N1158" s="461"/>
      <c r="O1158" s="470"/>
      <c r="P1158" s="568" t="str">
        <f>IF(LEFT(B1158,5)="09735",
    IF(ISNA(VLOOKUP(Tabla13[[#This Row],[Apoyo]],'LM SAP'!A:G,1,FALSE)),
        "No Disponible",
        IF(VLOOKUP(Tabla13[[#This Row],[Apoyo]],'LM SAP'!A:AD,9,FALSE)="RR",
            "Disponible",
            "Firmas SAP"
        )
    ),
    "CONSULTAR"
)</f>
        <v>CONSULTAR</v>
      </c>
      <c r="Q1158" s="460"/>
      <c r="S1158" s="460"/>
      <c r="T1158" s="465"/>
      <c r="X1158" s="466"/>
    </row>
    <row r="1159" spans="1:24" s="464" customFormat="1" ht="15" customHeight="1" x14ac:dyDescent="0.25">
      <c r="A1159" s="453"/>
      <c r="B1159" s="454"/>
      <c r="C1159" s="469"/>
      <c r="D1159" s="456"/>
      <c r="E1159" s="457"/>
      <c r="F1159" s="458"/>
      <c r="G1159" s="459"/>
      <c r="H1159" s="460"/>
      <c r="I1159" s="460"/>
      <c r="J1159" s="460"/>
      <c r="K1159" s="517"/>
      <c r="L1159" s="460"/>
      <c r="M1159" s="461"/>
      <c r="N1159" s="461"/>
      <c r="O1159" s="470"/>
      <c r="P1159" s="568" t="str">
        <f>IF(LEFT(B1159,5)="09735",
    IF(ISNA(VLOOKUP(Tabla13[[#This Row],[Apoyo]],'LM SAP'!A:G,1,FALSE)),
        "No Disponible",
        IF(VLOOKUP(Tabla13[[#This Row],[Apoyo]],'LM SAP'!A:AD,9,FALSE)="RR",
            "Disponible",
            "Firmas SAP"
        )
    ),
    "CONSULTAR"
)</f>
        <v>CONSULTAR</v>
      </c>
      <c r="Q1159" s="460"/>
      <c r="S1159" s="460"/>
      <c r="T1159" s="465"/>
      <c r="X1159" s="466"/>
    </row>
    <row r="1160" spans="1:24" s="464" customFormat="1" ht="15" customHeight="1" x14ac:dyDescent="0.25">
      <c r="A1160" s="453"/>
      <c r="B1160" s="454"/>
      <c r="C1160" s="469"/>
      <c r="D1160" s="456"/>
      <c r="E1160" s="457"/>
      <c r="F1160" s="458"/>
      <c r="G1160" s="459"/>
      <c r="H1160" s="460"/>
      <c r="I1160" s="460"/>
      <c r="J1160" s="460"/>
      <c r="K1160" s="517"/>
      <c r="L1160" s="460"/>
      <c r="M1160" s="461"/>
      <c r="N1160" s="461"/>
      <c r="O1160" s="470"/>
      <c r="P1160" s="568" t="str">
        <f>IF(LEFT(B1160,5)="09735",
    IF(ISNA(VLOOKUP(Tabla13[[#This Row],[Apoyo]],'LM SAP'!A:G,1,FALSE)),
        "No Disponible",
        IF(VLOOKUP(Tabla13[[#This Row],[Apoyo]],'LM SAP'!A:AD,9,FALSE)="RR",
            "Disponible",
            "Firmas SAP"
        )
    ),
    "CONSULTAR"
)</f>
        <v>CONSULTAR</v>
      </c>
      <c r="Q1160" s="460"/>
      <c r="S1160" s="460"/>
      <c r="T1160" s="465"/>
      <c r="X1160" s="466"/>
    </row>
    <row r="1161" spans="1:24" s="464" customFormat="1" ht="15" customHeight="1" x14ac:dyDescent="0.25">
      <c r="A1161" s="453"/>
      <c r="B1161" s="454"/>
      <c r="C1161" s="469"/>
      <c r="D1161" s="456"/>
      <c r="E1161" s="457"/>
      <c r="F1161" s="458"/>
      <c r="G1161" s="459"/>
      <c r="H1161" s="460"/>
      <c r="I1161" s="460"/>
      <c r="J1161" s="460"/>
      <c r="K1161" s="517"/>
      <c r="L1161" s="460"/>
      <c r="M1161" s="461"/>
      <c r="N1161" s="461"/>
      <c r="O1161" s="470"/>
      <c r="P1161" s="568" t="str">
        <f>IF(LEFT(B1161,5)="09735",
    IF(ISNA(VLOOKUP(Tabla13[[#This Row],[Apoyo]],'LM SAP'!A:G,1,FALSE)),
        "No Disponible",
        IF(VLOOKUP(Tabla13[[#This Row],[Apoyo]],'LM SAP'!A:AD,9,FALSE)="RR",
            "Disponible",
            "Firmas SAP"
        )
    ),
    "CONSULTAR"
)</f>
        <v>CONSULTAR</v>
      </c>
      <c r="Q1161" s="460"/>
      <c r="S1161" s="460"/>
      <c r="T1161" s="465"/>
      <c r="X1161" s="466"/>
    </row>
    <row r="1162" spans="1:24" s="464" customFormat="1" ht="15" customHeight="1" x14ac:dyDescent="0.25">
      <c r="A1162" s="453"/>
      <c r="B1162" s="454"/>
      <c r="C1162" s="469"/>
      <c r="D1162" s="456"/>
      <c r="E1162" s="457"/>
      <c r="F1162" s="458"/>
      <c r="G1162" s="459"/>
      <c r="H1162" s="460"/>
      <c r="I1162" s="460"/>
      <c r="J1162" s="460"/>
      <c r="K1162" s="517"/>
      <c r="L1162" s="460"/>
      <c r="M1162" s="461"/>
      <c r="N1162" s="461"/>
      <c r="O1162" s="470"/>
      <c r="P1162" s="568" t="str">
        <f>IF(LEFT(B1162,5)="09735",
    IF(ISNA(VLOOKUP(Tabla13[[#This Row],[Apoyo]],'LM SAP'!A:G,1,FALSE)),
        "No Disponible",
        IF(VLOOKUP(Tabla13[[#This Row],[Apoyo]],'LM SAP'!A:AD,9,FALSE)="RR",
            "Disponible",
            "Firmas SAP"
        )
    ),
    "CONSULTAR"
)</f>
        <v>CONSULTAR</v>
      </c>
      <c r="Q1162" s="460"/>
      <c r="S1162" s="460"/>
      <c r="T1162" s="465"/>
      <c r="X1162" s="466"/>
    </row>
    <row r="1163" spans="1:24" s="464" customFormat="1" ht="15" customHeight="1" x14ac:dyDescent="0.25">
      <c r="A1163" s="453"/>
      <c r="B1163" s="454"/>
      <c r="C1163" s="469"/>
      <c r="D1163" s="456"/>
      <c r="E1163" s="457"/>
      <c r="F1163" s="458"/>
      <c r="G1163" s="459"/>
      <c r="H1163" s="460"/>
      <c r="I1163" s="460"/>
      <c r="J1163" s="460"/>
      <c r="K1163" s="517"/>
      <c r="L1163" s="460"/>
      <c r="M1163" s="461"/>
      <c r="N1163" s="461"/>
      <c r="O1163" s="470"/>
      <c r="P1163" s="568" t="str">
        <f>IF(LEFT(B1163,5)="09735",
    IF(ISNA(VLOOKUP(Tabla13[[#This Row],[Apoyo]],'LM SAP'!A:G,1,FALSE)),
        "No Disponible",
        IF(VLOOKUP(Tabla13[[#This Row],[Apoyo]],'LM SAP'!A:AD,9,FALSE)="RR",
            "Disponible",
            "Firmas SAP"
        )
    ),
    "CONSULTAR"
)</f>
        <v>CONSULTAR</v>
      </c>
      <c r="Q1163" s="460"/>
      <c r="S1163" s="460"/>
      <c r="T1163" s="465"/>
      <c r="X1163" s="466"/>
    </row>
    <row r="1164" spans="1:24" s="464" customFormat="1" ht="15" customHeight="1" x14ac:dyDescent="0.25">
      <c r="A1164" s="453"/>
      <c r="B1164" s="454"/>
      <c r="C1164" s="469"/>
      <c r="D1164" s="456"/>
      <c r="E1164" s="457"/>
      <c r="F1164" s="458"/>
      <c r="G1164" s="459"/>
      <c r="H1164" s="460"/>
      <c r="I1164" s="460"/>
      <c r="J1164" s="460"/>
      <c r="K1164" s="517"/>
      <c r="L1164" s="460"/>
      <c r="M1164" s="461"/>
      <c r="N1164" s="461"/>
      <c r="O1164" s="470"/>
      <c r="P1164" s="568" t="str">
        <f>IF(LEFT(B1164,5)="09735",
    IF(ISNA(VLOOKUP(Tabla13[[#This Row],[Apoyo]],'LM SAP'!A:G,1,FALSE)),
        "No Disponible",
        IF(VLOOKUP(Tabla13[[#This Row],[Apoyo]],'LM SAP'!A:AD,9,FALSE)="RR",
            "Disponible",
            "Firmas SAP"
        )
    ),
    "CONSULTAR"
)</f>
        <v>CONSULTAR</v>
      </c>
      <c r="Q1164" s="460"/>
      <c r="S1164" s="460"/>
      <c r="T1164" s="465"/>
      <c r="X1164" s="466"/>
    </row>
    <row r="1165" spans="1:24" s="464" customFormat="1" ht="15" customHeight="1" x14ac:dyDescent="0.25">
      <c r="A1165" s="453"/>
      <c r="B1165" s="454"/>
      <c r="C1165" s="469"/>
      <c r="D1165" s="456"/>
      <c r="E1165" s="457"/>
      <c r="F1165" s="458"/>
      <c r="G1165" s="459"/>
      <c r="H1165" s="460"/>
      <c r="I1165" s="460"/>
      <c r="J1165" s="460"/>
      <c r="K1165" s="517"/>
      <c r="L1165" s="460"/>
      <c r="M1165" s="461"/>
      <c r="N1165" s="461"/>
      <c r="O1165" s="470"/>
      <c r="P1165" s="568" t="str">
        <f>IF(LEFT(B1165,5)="09735",
    IF(ISNA(VLOOKUP(Tabla13[[#This Row],[Apoyo]],'LM SAP'!A:G,1,FALSE)),
        "No Disponible",
        IF(VLOOKUP(Tabla13[[#This Row],[Apoyo]],'LM SAP'!A:AD,9,FALSE)="RR",
            "Disponible",
            "Firmas SAP"
        )
    ),
    "CONSULTAR"
)</f>
        <v>CONSULTAR</v>
      </c>
      <c r="Q1165" s="460"/>
      <c r="S1165" s="460"/>
      <c r="T1165" s="465"/>
      <c r="X1165" s="466"/>
    </row>
    <row r="1166" spans="1:24" s="464" customFormat="1" ht="15" customHeight="1" x14ac:dyDescent="0.25">
      <c r="A1166" s="453"/>
      <c r="B1166" s="454"/>
      <c r="C1166" s="469"/>
      <c r="D1166" s="456"/>
      <c r="E1166" s="457"/>
      <c r="F1166" s="458"/>
      <c r="G1166" s="459"/>
      <c r="H1166" s="460"/>
      <c r="I1166" s="460"/>
      <c r="J1166" s="460"/>
      <c r="K1166" s="517"/>
      <c r="L1166" s="460"/>
      <c r="M1166" s="461"/>
      <c r="N1166" s="461"/>
      <c r="O1166" s="470"/>
      <c r="P1166" s="568" t="str">
        <f>IF(LEFT(B1166,5)="09735",
    IF(ISNA(VLOOKUP(Tabla13[[#This Row],[Apoyo]],'LM SAP'!A:G,1,FALSE)),
        "No Disponible",
        IF(VLOOKUP(Tabla13[[#This Row],[Apoyo]],'LM SAP'!A:AD,9,FALSE)="RR",
            "Disponible",
            "Firmas SAP"
        )
    ),
    "CONSULTAR"
)</f>
        <v>CONSULTAR</v>
      </c>
      <c r="Q1166" s="460"/>
      <c r="S1166" s="460"/>
      <c r="T1166" s="465"/>
      <c r="X1166" s="466"/>
    </row>
    <row r="1167" spans="1:24" s="464" customFormat="1" ht="15" customHeight="1" x14ac:dyDescent="0.25">
      <c r="A1167" s="453"/>
      <c r="B1167" s="454"/>
      <c r="C1167" s="469"/>
      <c r="D1167" s="456"/>
      <c r="E1167" s="457"/>
      <c r="F1167" s="458"/>
      <c r="G1167" s="459"/>
      <c r="H1167" s="460"/>
      <c r="I1167" s="460"/>
      <c r="J1167" s="460"/>
      <c r="K1167" s="517"/>
      <c r="L1167" s="460"/>
      <c r="M1167" s="461"/>
      <c r="N1167" s="461"/>
      <c r="O1167" s="470"/>
      <c r="P1167" s="568" t="str">
        <f>IF(LEFT(B1167,5)="09735",
    IF(ISNA(VLOOKUP(Tabla13[[#This Row],[Apoyo]],'LM SAP'!A:G,1,FALSE)),
        "No Disponible",
        IF(VLOOKUP(Tabla13[[#This Row],[Apoyo]],'LM SAP'!A:AD,9,FALSE)="RR",
            "Disponible",
            "Firmas SAP"
        )
    ),
    "CONSULTAR"
)</f>
        <v>CONSULTAR</v>
      </c>
      <c r="Q1167" s="460"/>
      <c r="S1167" s="460"/>
      <c r="T1167" s="465"/>
      <c r="X1167" s="466"/>
    </row>
    <row r="1168" spans="1:24" s="464" customFormat="1" ht="15" customHeight="1" x14ac:dyDescent="0.25">
      <c r="A1168" s="453"/>
      <c r="B1168" s="454"/>
      <c r="C1168" s="469"/>
      <c r="D1168" s="456"/>
      <c r="E1168" s="457"/>
      <c r="F1168" s="458"/>
      <c r="G1168" s="459"/>
      <c r="H1168" s="460"/>
      <c r="I1168" s="460"/>
      <c r="J1168" s="460"/>
      <c r="K1168" s="517"/>
      <c r="L1168" s="460"/>
      <c r="M1168" s="461"/>
      <c r="N1168" s="461"/>
      <c r="O1168" s="470"/>
      <c r="P1168" s="568" t="str">
        <f>IF(LEFT(B1168,5)="09735",
    IF(ISNA(VLOOKUP(Tabla13[[#This Row],[Apoyo]],'LM SAP'!A:G,1,FALSE)),
        "No Disponible",
        IF(VLOOKUP(Tabla13[[#This Row],[Apoyo]],'LM SAP'!A:AD,9,FALSE)="RR",
            "Disponible",
            "Firmas SAP"
        )
    ),
    "CONSULTAR"
)</f>
        <v>CONSULTAR</v>
      </c>
      <c r="Q1168" s="460"/>
      <c r="S1168" s="460"/>
      <c r="T1168" s="465"/>
      <c r="X1168" s="466"/>
    </row>
    <row r="1169" spans="1:24" s="464" customFormat="1" ht="15" customHeight="1" x14ac:dyDescent="0.25">
      <c r="A1169" s="453"/>
      <c r="B1169" s="454"/>
      <c r="C1169" s="469"/>
      <c r="D1169" s="456"/>
      <c r="E1169" s="457"/>
      <c r="F1169" s="458"/>
      <c r="G1169" s="459"/>
      <c r="H1169" s="460"/>
      <c r="I1169" s="460"/>
      <c r="J1169" s="460"/>
      <c r="K1169" s="517"/>
      <c r="L1169" s="460"/>
      <c r="M1169" s="461"/>
      <c r="N1169" s="461"/>
      <c r="O1169" s="470"/>
      <c r="P1169" s="568" t="str">
        <f>IF(LEFT(B1169,5)="09735",
    IF(ISNA(VLOOKUP(Tabla13[[#This Row],[Apoyo]],'LM SAP'!A:G,1,FALSE)),
        "No Disponible",
        IF(VLOOKUP(Tabla13[[#This Row],[Apoyo]],'LM SAP'!A:AD,9,FALSE)="RR",
            "Disponible",
            "Firmas SAP"
        )
    ),
    "CONSULTAR"
)</f>
        <v>CONSULTAR</v>
      </c>
      <c r="Q1169" s="460"/>
      <c r="S1169" s="460"/>
      <c r="T1169" s="465"/>
      <c r="X1169" s="466"/>
    </row>
    <row r="1170" spans="1:24" s="464" customFormat="1" ht="15" customHeight="1" x14ac:dyDescent="0.25">
      <c r="A1170" s="453"/>
      <c r="B1170" s="454"/>
      <c r="C1170" s="469"/>
      <c r="D1170" s="456"/>
      <c r="E1170" s="457"/>
      <c r="F1170" s="458"/>
      <c r="G1170" s="459"/>
      <c r="H1170" s="460"/>
      <c r="I1170" s="460"/>
      <c r="J1170" s="460"/>
      <c r="K1170" s="517"/>
      <c r="L1170" s="460"/>
      <c r="M1170" s="461"/>
      <c r="N1170" s="461"/>
      <c r="O1170" s="470"/>
      <c r="P1170" s="568" t="str">
        <f>IF(LEFT(B1170,5)="09735",
    IF(ISNA(VLOOKUP(Tabla13[[#This Row],[Apoyo]],'LM SAP'!A:G,1,FALSE)),
        "No Disponible",
        IF(VLOOKUP(Tabla13[[#This Row],[Apoyo]],'LM SAP'!A:AD,9,FALSE)="RR",
            "Disponible",
            "Firmas SAP"
        )
    ),
    "CONSULTAR"
)</f>
        <v>CONSULTAR</v>
      </c>
      <c r="Q1170" s="460"/>
      <c r="S1170" s="460"/>
      <c r="T1170" s="465"/>
      <c r="X1170" s="466"/>
    </row>
    <row r="1171" spans="1:24" s="464" customFormat="1" ht="15" customHeight="1" x14ac:dyDescent="0.25">
      <c r="A1171" s="453"/>
      <c r="B1171" s="454"/>
      <c r="C1171" s="469"/>
      <c r="D1171" s="456"/>
      <c r="E1171" s="457"/>
      <c r="F1171" s="458"/>
      <c r="G1171" s="459"/>
      <c r="H1171" s="460"/>
      <c r="I1171" s="460"/>
      <c r="J1171" s="460"/>
      <c r="K1171" s="517"/>
      <c r="L1171" s="460"/>
      <c r="M1171" s="461"/>
      <c r="N1171" s="461"/>
      <c r="O1171" s="470"/>
      <c r="P1171" s="568" t="str">
        <f>IF(LEFT(B1171,5)="09735",
    IF(ISNA(VLOOKUP(Tabla13[[#This Row],[Apoyo]],'LM SAP'!A:G,1,FALSE)),
        "No Disponible",
        IF(VLOOKUP(Tabla13[[#This Row],[Apoyo]],'LM SAP'!A:AD,9,FALSE)="RR",
            "Disponible",
            "Firmas SAP"
        )
    ),
    "CONSULTAR"
)</f>
        <v>CONSULTAR</v>
      </c>
      <c r="Q1171" s="460"/>
      <c r="S1171" s="460"/>
      <c r="T1171" s="465"/>
      <c r="X1171" s="466"/>
    </row>
    <row r="1172" spans="1:24" s="464" customFormat="1" ht="15" customHeight="1" x14ac:dyDescent="0.25">
      <c r="A1172" s="453"/>
      <c r="B1172" s="454"/>
      <c r="C1172" s="469"/>
      <c r="D1172" s="456"/>
      <c r="E1172" s="457"/>
      <c r="F1172" s="458"/>
      <c r="G1172" s="459"/>
      <c r="H1172" s="460"/>
      <c r="I1172" s="460"/>
      <c r="J1172" s="460"/>
      <c r="K1172" s="517"/>
      <c r="L1172" s="460"/>
      <c r="M1172" s="461"/>
      <c r="N1172" s="461"/>
      <c r="O1172" s="470"/>
      <c r="P1172" s="568" t="str">
        <f>IF(LEFT(B1172,5)="09735",
    IF(ISNA(VLOOKUP(Tabla13[[#This Row],[Apoyo]],'LM SAP'!A:G,1,FALSE)),
        "No Disponible",
        IF(VLOOKUP(Tabla13[[#This Row],[Apoyo]],'LM SAP'!A:AD,9,FALSE)="RR",
            "Disponible",
            "Firmas SAP"
        )
    ),
    "CONSULTAR"
)</f>
        <v>CONSULTAR</v>
      </c>
      <c r="Q1172" s="460"/>
      <c r="S1172" s="460"/>
      <c r="T1172" s="465"/>
      <c r="X1172" s="466"/>
    </row>
    <row r="1173" spans="1:24" s="464" customFormat="1" ht="15" customHeight="1" x14ac:dyDescent="0.25">
      <c r="A1173" s="453"/>
      <c r="B1173" s="454"/>
      <c r="C1173" s="469"/>
      <c r="D1173" s="456"/>
      <c r="E1173" s="457"/>
      <c r="F1173" s="458"/>
      <c r="G1173" s="459"/>
      <c r="H1173" s="460"/>
      <c r="I1173" s="460"/>
      <c r="J1173" s="460"/>
      <c r="K1173" s="517"/>
      <c r="L1173" s="460"/>
      <c r="M1173" s="461"/>
      <c r="N1173" s="461"/>
      <c r="O1173" s="470"/>
      <c r="P1173" s="568" t="str">
        <f>IF(LEFT(B1173,5)="09735",
    IF(ISNA(VLOOKUP(Tabla13[[#This Row],[Apoyo]],'LM SAP'!A:G,1,FALSE)),
        "No Disponible",
        IF(VLOOKUP(Tabla13[[#This Row],[Apoyo]],'LM SAP'!A:AD,9,FALSE)="RR",
            "Disponible",
            "Firmas SAP"
        )
    ),
    "CONSULTAR"
)</f>
        <v>CONSULTAR</v>
      </c>
      <c r="Q1173" s="460"/>
      <c r="S1173" s="460"/>
      <c r="T1173" s="465"/>
      <c r="X1173" s="466"/>
    </row>
    <row r="1174" spans="1:24" s="464" customFormat="1" ht="15" customHeight="1" x14ac:dyDescent="0.25">
      <c r="A1174" s="453"/>
      <c r="B1174" s="454"/>
      <c r="C1174" s="469"/>
      <c r="D1174" s="456"/>
      <c r="E1174" s="457"/>
      <c r="F1174" s="458"/>
      <c r="G1174" s="459"/>
      <c r="H1174" s="460"/>
      <c r="I1174" s="460"/>
      <c r="J1174" s="460"/>
      <c r="K1174" s="517"/>
      <c r="L1174" s="460"/>
      <c r="M1174" s="461"/>
      <c r="N1174" s="461"/>
      <c r="O1174" s="470"/>
      <c r="P1174" s="568" t="str">
        <f>IF(LEFT(B1174,5)="09735",
    IF(ISNA(VLOOKUP(Tabla13[[#This Row],[Apoyo]],'LM SAP'!A:G,1,FALSE)),
        "No Disponible",
        IF(VLOOKUP(Tabla13[[#This Row],[Apoyo]],'LM SAP'!A:AD,9,FALSE)="RR",
            "Disponible",
            "Firmas SAP"
        )
    ),
    "CONSULTAR"
)</f>
        <v>CONSULTAR</v>
      </c>
      <c r="Q1174" s="460"/>
      <c r="S1174" s="460"/>
      <c r="T1174" s="465"/>
      <c r="X1174" s="466"/>
    </row>
    <row r="1175" spans="1:24" s="464" customFormat="1" ht="15" customHeight="1" x14ac:dyDescent="0.25">
      <c r="A1175" s="453"/>
      <c r="B1175" s="454"/>
      <c r="C1175" s="469"/>
      <c r="D1175" s="456"/>
      <c r="E1175" s="457"/>
      <c r="F1175" s="458"/>
      <c r="G1175" s="459"/>
      <c r="H1175" s="460"/>
      <c r="I1175" s="460"/>
      <c r="J1175" s="460"/>
      <c r="K1175" s="517"/>
      <c r="L1175" s="460"/>
      <c r="M1175" s="461"/>
      <c r="N1175" s="461"/>
      <c r="O1175" s="470"/>
      <c r="P1175" s="568" t="str">
        <f>IF(LEFT(B1175,5)="09735",
    IF(ISNA(VLOOKUP(Tabla13[[#This Row],[Apoyo]],'LM SAP'!A:G,1,FALSE)),
        "No Disponible",
        IF(VLOOKUP(Tabla13[[#This Row],[Apoyo]],'LM SAP'!A:AD,9,FALSE)="RR",
            "Disponible",
            "Firmas SAP"
        )
    ),
    "CONSULTAR"
)</f>
        <v>CONSULTAR</v>
      </c>
      <c r="Q1175" s="460"/>
      <c r="S1175" s="460"/>
      <c r="T1175" s="465"/>
      <c r="X1175" s="466"/>
    </row>
    <row r="1176" spans="1:24" s="464" customFormat="1" ht="15" customHeight="1" x14ac:dyDescent="0.25">
      <c r="A1176" s="453"/>
      <c r="B1176" s="454"/>
      <c r="C1176" s="469"/>
      <c r="D1176" s="456"/>
      <c r="E1176" s="457"/>
      <c r="F1176" s="458"/>
      <c r="G1176" s="459"/>
      <c r="H1176" s="460"/>
      <c r="I1176" s="460"/>
      <c r="J1176" s="460"/>
      <c r="K1176" s="517"/>
      <c r="L1176" s="460"/>
      <c r="M1176" s="461"/>
      <c r="N1176" s="461"/>
      <c r="O1176" s="470"/>
      <c r="P1176" s="568" t="str">
        <f>IF(LEFT(B1176,5)="09735",
    IF(ISNA(VLOOKUP(Tabla13[[#This Row],[Apoyo]],'LM SAP'!A:G,1,FALSE)),
        "No Disponible",
        IF(VLOOKUP(Tabla13[[#This Row],[Apoyo]],'LM SAP'!A:AD,9,FALSE)="RR",
            "Disponible",
            "Firmas SAP"
        )
    ),
    "CONSULTAR"
)</f>
        <v>CONSULTAR</v>
      </c>
      <c r="Q1176" s="460"/>
      <c r="S1176" s="460"/>
      <c r="T1176" s="465"/>
      <c r="X1176" s="466"/>
    </row>
    <row r="1177" spans="1:24" s="464" customFormat="1" ht="15" customHeight="1" x14ac:dyDescent="0.25">
      <c r="A1177" s="453"/>
      <c r="B1177" s="454"/>
      <c r="C1177" s="469"/>
      <c r="D1177" s="456"/>
      <c r="E1177" s="457"/>
      <c r="F1177" s="458"/>
      <c r="G1177" s="459"/>
      <c r="H1177" s="460"/>
      <c r="I1177" s="460"/>
      <c r="J1177" s="460"/>
      <c r="K1177" s="517"/>
      <c r="L1177" s="460"/>
      <c r="M1177" s="461"/>
      <c r="N1177" s="461"/>
      <c r="O1177" s="470"/>
      <c r="P1177" s="568" t="str">
        <f>IF(LEFT(B1177,5)="09735",
    IF(ISNA(VLOOKUP(Tabla13[[#This Row],[Apoyo]],'LM SAP'!A:G,1,FALSE)),
        "No Disponible",
        IF(VLOOKUP(Tabla13[[#This Row],[Apoyo]],'LM SAP'!A:AD,9,FALSE)="RR",
            "Disponible",
            "Firmas SAP"
        )
    ),
    "CONSULTAR"
)</f>
        <v>CONSULTAR</v>
      </c>
      <c r="Q1177" s="460"/>
      <c r="S1177" s="460"/>
      <c r="T1177" s="465"/>
      <c r="X1177" s="466"/>
    </row>
    <row r="1178" spans="1:24" s="464" customFormat="1" ht="15" customHeight="1" x14ac:dyDescent="0.25">
      <c r="A1178" s="453"/>
      <c r="B1178" s="454"/>
      <c r="C1178" s="469"/>
      <c r="D1178" s="456"/>
      <c r="E1178" s="457"/>
      <c r="F1178" s="458"/>
      <c r="G1178" s="459"/>
      <c r="H1178" s="460"/>
      <c r="I1178" s="460"/>
      <c r="J1178" s="460"/>
      <c r="K1178" s="517"/>
      <c r="L1178" s="460"/>
      <c r="M1178" s="461"/>
      <c r="N1178" s="461"/>
      <c r="O1178" s="470"/>
      <c r="P1178" s="568" t="str">
        <f>IF(LEFT(B1178,5)="09735",
    IF(ISNA(VLOOKUP(Tabla13[[#This Row],[Apoyo]],'LM SAP'!A:G,1,FALSE)),
        "No Disponible",
        IF(VLOOKUP(Tabla13[[#This Row],[Apoyo]],'LM SAP'!A:AD,9,FALSE)="RR",
            "Disponible",
            "Firmas SAP"
        )
    ),
    "CONSULTAR"
)</f>
        <v>CONSULTAR</v>
      </c>
      <c r="Q1178" s="460"/>
      <c r="S1178" s="460"/>
      <c r="T1178" s="465"/>
      <c r="X1178" s="466"/>
    </row>
    <row r="1179" spans="1:24" s="464" customFormat="1" ht="15" customHeight="1" x14ac:dyDescent="0.25">
      <c r="A1179" s="453"/>
      <c r="B1179" s="454"/>
      <c r="C1179" s="469"/>
      <c r="D1179" s="456"/>
      <c r="E1179" s="457"/>
      <c r="F1179" s="458"/>
      <c r="G1179" s="459"/>
      <c r="H1179" s="460"/>
      <c r="I1179" s="460"/>
      <c r="J1179" s="460"/>
      <c r="K1179" s="517"/>
      <c r="L1179" s="460"/>
      <c r="M1179" s="461"/>
      <c r="N1179" s="461"/>
      <c r="O1179" s="470"/>
      <c r="P1179" s="568" t="str">
        <f>IF(LEFT(B1179,5)="09735",
    IF(ISNA(VLOOKUP(Tabla13[[#This Row],[Apoyo]],'LM SAP'!A:G,1,FALSE)),
        "No Disponible",
        IF(VLOOKUP(Tabla13[[#This Row],[Apoyo]],'LM SAP'!A:AD,9,FALSE)="RR",
            "Disponible",
            "Firmas SAP"
        )
    ),
    "CONSULTAR"
)</f>
        <v>CONSULTAR</v>
      </c>
      <c r="Q1179" s="460"/>
      <c r="S1179" s="460"/>
      <c r="T1179" s="465"/>
      <c r="X1179" s="466"/>
    </row>
    <row r="1180" spans="1:24" s="464" customFormat="1" ht="15" customHeight="1" x14ac:dyDescent="0.25">
      <c r="A1180" s="453"/>
      <c r="B1180" s="454"/>
      <c r="C1180" s="469"/>
      <c r="D1180" s="456"/>
      <c r="E1180" s="457"/>
      <c r="F1180" s="458"/>
      <c r="G1180" s="459"/>
      <c r="H1180" s="460"/>
      <c r="I1180" s="460"/>
      <c r="J1180" s="460"/>
      <c r="K1180" s="517"/>
      <c r="L1180" s="460"/>
      <c r="M1180" s="461"/>
      <c r="N1180" s="461"/>
      <c r="O1180" s="470"/>
      <c r="P1180" s="568" t="str">
        <f>IF(LEFT(B1180,5)="09735",
    IF(ISNA(VLOOKUP(Tabla13[[#This Row],[Apoyo]],'LM SAP'!A:G,1,FALSE)),
        "No Disponible",
        IF(VLOOKUP(Tabla13[[#This Row],[Apoyo]],'LM SAP'!A:AD,9,FALSE)="RR",
            "Disponible",
            "Firmas SAP"
        )
    ),
    "CONSULTAR"
)</f>
        <v>CONSULTAR</v>
      </c>
      <c r="Q1180" s="460"/>
      <c r="S1180" s="460"/>
      <c r="T1180" s="465"/>
      <c r="X1180" s="466"/>
    </row>
    <row r="1181" spans="1:24" s="464" customFormat="1" ht="15" customHeight="1" x14ac:dyDescent="0.25">
      <c r="A1181" s="453"/>
      <c r="B1181" s="454"/>
      <c r="C1181" s="469"/>
      <c r="D1181" s="456"/>
      <c r="E1181" s="457"/>
      <c r="F1181" s="458"/>
      <c r="G1181" s="459"/>
      <c r="H1181" s="460"/>
      <c r="I1181" s="460"/>
      <c r="J1181" s="460"/>
      <c r="K1181" s="517"/>
      <c r="L1181" s="460"/>
      <c r="M1181" s="461"/>
      <c r="N1181" s="461"/>
      <c r="O1181" s="470"/>
      <c r="P1181" s="568" t="str">
        <f>IF(LEFT(B1181,5)="09735",
    IF(ISNA(VLOOKUP(Tabla13[[#This Row],[Apoyo]],'LM SAP'!A:G,1,FALSE)),
        "No Disponible",
        IF(VLOOKUP(Tabla13[[#This Row],[Apoyo]],'LM SAP'!A:AD,9,FALSE)="RR",
            "Disponible",
            "Firmas SAP"
        )
    ),
    "CONSULTAR"
)</f>
        <v>CONSULTAR</v>
      </c>
      <c r="Q1181" s="460"/>
      <c r="S1181" s="460"/>
      <c r="T1181" s="465"/>
      <c r="X1181" s="466"/>
    </row>
    <row r="1182" spans="1:24" s="464" customFormat="1" ht="15" customHeight="1" x14ac:dyDescent="0.25">
      <c r="A1182" s="453"/>
      <c r="B1182" s="454"/>
      <c r="C1182" s="469"/>
      <c r="D1182" s="456"/>
      <c r="E1182" s="457"/>
      <c r="F1182" s="458"/>
      <c r="G1182" s="459"/>
      <c r="H1182" s="460"/>
      <c r="I1182" s="460"/>
      <c r="J1182" s="460"/>
      <c r="K1182" s="517"/>
      <c r="L1182" s="460"/>
      <c r="M1182" s="461"/>
      <c r="N1182" s="461"/>
      <c r="O1182" s="470"/>
      <c r="P1182" s="568" t="str">
        <f>IF(LEFT(B1182,5)="09735",
    IF(ISNA(VLOOKUP(Tabla13[[#This Row],[Apoyo]],'LM SAP'!A:G,1,FALSE)),
        "No Disponible",
        IF(VLOOKUP(Tabla13[[#This Row],[Apoyo]],'LM SAP'!A:AD,9,FALSE)="RR",
            "Disponible",
            "Firmas SAP"
        )
    ),
    "CONSULTAR"
)</f>
        <v>CONSULTAR</v>
      </c>
      <c r="Q1182" s="460"/>
      <c r="S1182" s="460"/>
      <c r="T1182" s="465"/>
      <c r="X1182" s="466"/>
    </row>
    <row r="1183" spans="1:24" s="464" customFormat="1" ht="15" customHeight="1" x14ac:dyDescent="0.25">
      <c r="A1183" s="453"/>
      <c r="B1183" s="454"/>
      <c r="C1183" s="469"/>
      <c r="D1183" s="456"/>
      <c r="E1183" s="457"/>
      <c r="F1183" s="458"/>
      <c r="G1183" s="459"/>
      <c r="H1183" s="460"/>
      <c r="I1183" s="460"/>
      <c r="J1183" s="460"/>
      <c r="K1183" s="517"/>
      <c r="L1183" s="460"/>
      <c r="M1183" s="461"/>
      <c r="N1183" s="461"/>
      <c r="O1183" s="470"/>
      <c r="P1183" s="568" t="str">
        <f>IF(LEFT(B1183,5)="09735",
    IF(ISNA(VLOOKUP(Tabla13[[#This Row],[Apoyo]],'LM SAP'!A:G,1,FALSE)),
        "No Disponible",
        IF(VLOOKUP(Tabla13[[#This Row],[Apoyo]],'LM SAP'!A:AD,9,FALSE)="RR",
            "Disponible",
            "Firmas SAP"
        )
    ),
    "CONSULTAR"
)</f>
        <v>CONSULTAR</v>
      </c>
      <c r="Q1183" s="460"/>
      <c r="S1183" s="460"/>
      <c r="T1183" s="465"/>
      <c r="X1183" s="466"/>
    </row>
    <row r="1184" spans="1:24" s="464" customFormat="1" ht="15" customHeight="1" x14ac:dyDescent="0.25">
      <c r="A1184" s="453"/>
      <c r="B1184" s="454"/>
      <c r="C1184" s="469"/>
      <c r="D1184" s="456"/>
      <c r="E1184" s="457"/>
      <c r="F1184" s="458"/>
      <c r="G1184" s="459"/>
      <c r="H1184" s="460"/>
      <c r="I1184" s="460"/>
      <c r="J1184" s="460"/>
      <c r="K1184" s="517"/>
      <c r="L1184" s="460"/>
      <c r="M1184" s="461"/>
      <c r="N1184" s="461"/>
      <c r="O1184" s="470"/>
      <c r="P1184" s="568" t="str">
        <f>IF(LEFT(B1184,5)="09735",
    IF(ISNA(VLOOKUP(Tabla13[[#This Row],[Apoyo]],'LM SAP'!A:G,1,FALSE)),
        "No Disponible",
        IF(VLOOKUP(Tabla13[[#This Row],[Apoyo]],'LM SAP'!A:AD,9,FALSE)="RR",
            "Disponible",
            "Firmas SAP"
        )
    ),
    "CONSULTAR"
)</f>
        <v>CONSULTAR</v>
      </c>
      <c r="Q1184" s="460"/>
      <c r="S1184" s="460"/>
      <c r="T1184" s="465"/>
      <c r="X1184" s="466"/>
    </row>
    <row r="1185" spans="1:24" s="464" customFormat="1" ht="15" customHeight="1" x14ac:dyDescent="0.25">
      <c r="A1185" s="453"/>
      <c r="B1185" s="454"/>
      <c r="C1185" s="469"/>
      <c r="D1185" s="456"/>
      <c r="E1185" s="457"/>
      <c r="F1185" s="458"/>
      <c r="G1185" s="459"/>
      <c r="H1185" s="460"/>
      <c r="I1185" s="460"/>
      <c r="J1185" s="460"/>
      <c r="K1185" s="517"/>
      <c r="L1185" s="460"/>
      <c r="M1185" s="461"/>
      <c r="N1185" s="461"/>
      <c r="O1185" s="470"/>
      <c r="P1185" s="568" t="str">
        <f>IF(LEFT(B1185,5)="09735",
    IF(ISNA(VLOOKUP(Tabla13[[#This Row],[Apoyo]],'LM SAP'!A:G,1,FALSE)),
        "No Disponible",
        IF(VLOOKUP(Tabla13[[#This Row],[Apoyo]],'LM SAP'!A:AD,9,FALSE)="RR",
            "Disponible",
            "Firmas SAP"
        )
    ),
    "CONSULTAR"
)</f>
        <v>CONSULTAR</v>
      </c>
      <c r="Q1185" s="460"/>
      <c r="S1185" s="460"/>
      <c r="T1185" s="465"/>
      <c r="X1185" s="466"/>
    </row>
    <row r="1186" spans="1:24" s="464" customFormat="1" ht="15" customHeight="1" x14ac:dyDescent="0.25">
      <c r="A1186" s="453"/>
      <c r="B1186" s="454"/>
      <c r="C1186" s="469"/>
      <c r="D1186" s="456"/>
      <c r="E1186" s="457"/>
      <c r="F1186" s="458"/>
      <c r="G1186" s="459"/>
      <c r="H1186" s="460"/>
      <c r="I1186" s="460"/>
      <c r="J1186" s="460"/>
      <c r="K1186" s="517"/>
      <c r="L1186" s="460"/>
      <c r="M1186" s="461"/>
      <c r="N1186" s="461"/>
      <c r="O1186" s="470"/>
      <c r="P1186" s="568" t="str">
        <f>IF(LEFT(B1186,5)="09735",
    IF(ISNA(VLOOKUP(Tabla13[[#This Row],[Apoyo]],'LM SAP'!A:G,1,FALSE)),
        "No Disponible",
        IF(VLOOKUP(Tabla13[[#This Row],[Apoyo]],'LM SAP'!A:AD,9,FALSE)="RR",
            "Disponible",
            "Firmas SAP"
        )
    ),
    "CONSULTAR"
)</f>
        <v>CONSULTAR</v>
      </c>
      <c r="Q1186" s="460"/>
      <c r="S1186" s="460"/>
      <c r="T1186" s="465"/>
      <c r="X1186" s="466"/>
    </row>
    <row r="1187" spans="1:24" s="464" customFormat="1" ht="15" customHeight="1" x14ac:dyDescent="0.25">
      <c r="A1187" s="453"/>
      <c r="B1187" s="454"/>
      <c r="C1187" s="469"/>
      <c r="D1187" s="456"/>
      <c r="E1187" s="457"/>
      <c r="F1187" s="458"/>
      <c r="G1187" s="459"/>
      <c r="H1187" s="460"/>
      <c r="I1187" s="460"/>
      <c r="J1187" s="460"/>
      <c r="K1187" s="517"/>
      <c r="L1187" s="460"/>
      <c r="M1187" s="461"/>
      <c r="N1187" s="461"/>
      <c r="O1187" s="470"/>
      <c r="P1187" s="568" t="str">
        <f>IF(LEFT(B1187,5)="09735",
    IF(ISNA(VLOOKUP(Tabla13[[#This Row],[Apoyo]],'LM SAP'!A:G,1,FALSE)),
        "No Disponible",
        IF(VLOOKUP(Tabla13[[#This Row],[Apoyo]],'LM SAP'!A:AD,9,FALSE)="RR",
            "Disponible",
            "Firmas SAP"
        )
    ),
    "CONSULTAR"
)</f>
        <v>CONSULTAR</v>
      </c>
      <c r="Q1187" s="460"/>
      <c r="S1187" s="460"/>
      <c r="T1187" s="465"/>
      <c r="X1187" s="466"/>
    </row>
    <row r="1188" spans="1:24" s="464" customFormat="1" ht="15" customHeight="1" x14ac:dyDescent="0.25">
      <c r="A1188" s="453"/>
      <c r="B1188" s="454"/>
      <c r="C1188" s="469"/>
      <c r="D1188" s="456"/>
      <c r="E1188" s="457"/>
      <c r="F1188" s="458"/>
      <c r="G1188" s="459"/>
      <c r="H1188" s="460"/>
      <c r="I1188" s="460"/>
      <c r="J1188" s="460"/>
      <c r="K1188" s="517"/>
      <c r="L1188" s="460"/>
      <c r="M1188" s="461"/>
      <c r="N1188" s="461"/>
      <c r="O1188" s="470"/>
      <c r="P1188" s="568" t="str">
        <f>IF(LEFT(B1188,5)="09735",
    IF(ISNA(VLOOKUP(Tabla13[[#This Row],[Apoyo]],'LM SAP'!A:G,1,FALSE)),
        "No Disponible",
        IF(VLOOKUP(Tabla13[[#This Row],[Apoyo]],'LM SAP'!A:AD,9,FALSE)="RR",
            "Disponible",
            "Firmas SAP"
        )
    ),
    "CONSULTAR"
)</f>
        <v>CONSULTAR</v>
      </c>
      <c r="Q1188" s="460"/>
      <c r="S1188" s="460"/>
      <c r="T1188" s="465"/>
      <c r="X1188" s="466"/>
    </row>
    <row r="1189" spans="1:24" s="464" customFormat="1" ht="15" customHeight="1" x14ac:dyDescent="0.25">
      <c r="A1189" s="453"/>
      <c r="B1189" s="454"/>
      <c r="C1189" s="469"/>
      <c r="D1189" s="456"/>
      <c r="E1189" s="457"/>
      <c r="F1189" s="458"/>
      <c r="G1189" s="459"/>
      <c r="H1189" s="460"/>
      <c r="I1189" s="460"/>
      <c r="J1189" s="460"/>
      <c r="K1189" s="517"/>
      <c r="L1189" s="460"/>
      <c r="M1189" s="461"/>
      <c r="N1189" s="461"/>
      <c r="O1189" s="470"/>
      <c r="P1189" s="568" t="str">
        <f>IF(LEFT(B1189,5)="09735",
    IF(ISNA(VLOOKUP(Tabla13[[#This Row],[Apoyo]],'LM SAP'!A:G,1,FALSE)),
        "No Disponible",
        IF(VLOOKUP(Tabla13[[#This Row],[Apoyo]],'LM SAP'!A:AD,9,FALSE)="RR",
            "Disponible",
            "Firmas SAP"
        )
    ),
    "CONSULTAR"
)</f>
        <v>CONSULTAR</v>
      </c>
      <c r="Q1189" s="460"/>
      <c r="S1189" s="460"/>
      <c r="T1189" s="465"/>
      <c r="X1189" s="466"/>
    </row>
    <row r="1190" spans="1:24" s="464" customFormat="1" ht="15" customHeight="1" x14ac:dyDescent="0.25">
      <c r="A1190" s="453"/>
      <c r="B1190" s="454"/>
      <c r="C1190" s="469"/>
      <c r="D1190" s="456"/>
      <c r="E1190" s="457"/>
      <c r="F1190" s="458"/>
      <c r="G1190" s="459"/>
      <c r="H1190" s="460"/>
      <c r="I1190" s="460"/>
      <c r="J1190" s="460"/>
      <c r="K1190" s="517"/>
      <c r="L1190" s="460"/>
      <c r="M1190" s="461"/>
      <c r="N1190" s="461"/>
      <c r="O1190" s="470"/>
      <c r="P1190" s="568" t="str">
        <f>IF(LEFT(B1190,5)="09735",
    IF(ISNA(VLOOKUP(Tabla13[[#This Row],[Apoyo]],'LM SAP'!A:G,1,FALSE)),
        "No Disponible",
        IF(VLOOKUP(Tabla13[[#This Row],[Apoyo]],'LM SAP'!A:AD,9,FALSE)="RR",
            "Disponible",
            "Firmas SAP"
        )
    ),
    "CONSULTAR"
)</f>
        <v>CONSULTAR</v>
      </c>
      <c r="Q1190" s="460"/>
      <c r="S1190" s="460"/>
      <c r="T1190" s="465"/>
      <c r="X1190" s="466"/>
    </row>
    <row r="1191" spans="1:24" s="464" customFormat="1" ht="15" customHeight="1" x14ac:dyDescent="0.25">
      <c r="A1191" s="453"/>
      <c r="B1191" s="454"/>
      <c r="C1191" s="469"/>
      <c r="D1191" s="456"/>
      <c r="E1191" s="457"/>
      <c r="F1191" s="458"/>
      <c r="G1191" s="459"/>
      <c r="H1191" s="460"/>
      <c r="I1191" s="460"/>
      <c r="J1191" s="460"/>
      <c r="K1191" s="517"/>
      <c r="L1191" s="460"/>
      <c r="M1191" s="461"/>
      <c r="N1191" s="461"/>
      <c r="O1191" s="470"/>
      <c r="P1191" s="568" t="str">
        <f>IF(LEFT(B1191,5)="09735",
    IF(ISNA(VLOOKUP(Tabla13[[#This Row],[Apoyo]],'LM SAP'!A:G,1,FALSE)),
        "No Disponible",
        IF(VLOOKUP(Tabla13[[#This Row],[Apoyo]],'LM SAP'!A:AD,9,FALSE)="RR",
            "Disponible",
            "Firmas SAP"
        )
    ),
    "CONSULTAR"
)</f>
        <v>CONSULTAR</v>
      </c>
      <c r="Q1191" s="460"/>
      <c r="S1191" s="460"/>
      <c r="T1191" s="465"/>
      <c r="X1191" s="466"/>
    </row>
    <row r="1192" spans="1:24" s="464" customFormat="1" ht="15" customHeight="1" x14ac:dyDescent="0.25">
      <c r="A1192" s="453"/>
      <c r="B1192" s="454"/>
      <c r="C1192" s="469"/>
      <c r="D1192" s="456"/>
      <c r="E1192" s="457"/>
      <c r="F1192" s="458"/>
      <c r="G1192" s="459"/>
      <c r="H1192" s="460"/>
      <c r="I1192" s="460"/>
      <c r="J1192" s="460"/>
      <c r="K1192" s="517"/>
      <c r="L1192" s="460"/>
      <c r="M1192" s="461"/>
      <c r="N1192" s="461"/>
      <c r="O1192" s="470"/>
      <c r="P1192" s="568" t="str">
        <f>IF(LEFT(B1192,5)="09735",
    IF(ISNA(VLOOKUP(Tabla13[[#This Row],[Apoyo]],'LM SAP'!A:G,1,FALSE)),
        "No Disponible",
        IF(VLOOKUP(Tabla13[[#This Row],[Apoyo]],'LM SAP'!A:AD,9,FALSE)="RR",
            "Disponible",
            "Firmas SAP"
        )
    ),
    "CONSULTAR"
)</f>
        <v>CONSULTAR</v>
      </c>
      <c r="Q1192" s="460"/>
      <c r="S1192" s="460"/>
      <c r="T1192" s="465"/>
      <c r="X1192" s="466"/>
    </row>
    <row r="1193" spans="1:24" s="464" customFormat="1" ht="15" customHeight="1" x14ac:dyDescent="0.25">
      <c r="A1193" s="453"/>
      <c r="B1193" s="454"/>
      <c r="C1193" s="469"/>
      <c r="D1193" s="456"/>
      <c r="E1193" s="457"/>
      <c r="F1193" s="458"/>
      <c r="G1193" s="459"/>
      <c r="H1193" s="460"/>
      <c r="I1193" s="460"/>
      <c r="J1193" s="460"/>
      <c r="K1193" s="517"/>
      <c r="L1193" s="460"/>
      <c r="M1193" s="461"/>
      <c r="N1193" s="461"/>
      <c r="O1193" s="470"/>
      <c r="P1193" s="568" t="str">
        <f>IF(LEFT(B1193,5)="09735",
    IF(ISNA(VLOOKUP(Tabla13[[#This Row],[Apoyo]],'LM SAP'!A:G,1,FALSE)),
        "No Disponible",
        IF(VLOOKUP(Tabla13[[#This Row],[Apoyo]],'LM SAP'!A:AD,9,FALSE)="RR",
            "Disponible",
            "Firmas SAP"
        )
    ),
    "CONSULTAR"
)</f>
        <v>CONSULTAR</v>
      </c>
      <c r="Q1193" s="460"/>
      <c r="S1193" s="460"/>
      <c r="T1193" s="465"/>
      <c r="X1193" s="466"/>
    </row>
    <row r="1194" spans="1:24" s="464" customFormat="1" ht="15" customHeight="1" x14ac:dyDescent="0.25">
      <c r="A1194" s="453"/>
      <c r="B1194" s="454"/>
      <c r="C1194" s="469"/>
      <c r="D1194" s="456"/>
      <c r="E1194" s="457"/>
      <c r="F1194" s="458"/>
      <c r="G1194" s="459"/>
      <c r="H1194" s="460"/>
      <c r="I1194" s="460"/>
      <c r="J1194" s="460"/>
      <c r="K1194" s="517"/>
      <c r="L1194" s="460"/>
      <c r="M1194" s="461"/>
      <c r="N1194" s="461"/>
      <c r="O1194" s="470"/>
      <c r="P1194" s="568" t="str">
        <f>IF(LEFT(B1194,5)="09735",
    IF(ISNA(VLOOKUP(Tabla13[[#This Row],[Apoyo]],'LM SAP'!A:G,1,FALSE)),
        "No Disponible",
        IF(VLOOKUP(Tabla13[[#This Row],[Apoyo]],'LM SAP'!A:AD,9,FALSE)="RR",
            "Disponible",
            "Firmas SAP"
        )
    ),
    "CONSULTAR"
)</f>
        <v>CONSULTAR</v>
      </c>
      <c r="Q1194" s="460"/>
      <c r="S1194" s="460"/>
      <c r="T1194" s="465"/>
      <c r="X1194" s="466"/>
    </row>
    <row r="1195" spans="1:24" s="464" customFormat="1" ht="15" customHeight="1" x14ac:dyDescent="0.25">
      <c r="A1195" s="577"/>
      <c r="B1195" s="578"/>
      <c r="C1195" s="562"/>
      <c r="D1195" s="563"/>
      <c r="E1195" s="564"/>
      <c r="F1195" s="565"/>
      <c r="G1195" s="573"/>
      <c r="H1195" s="553"/>
      <c r="I1195" s="553"/>
      <c r="J1195" s="553"/>
      <c r="K1195" s="529"/>
      <c r="L1195" s="553"/>
      <c r="M1195" s="521"/>
      <c r="N1195" s="521"/>
      <c r="O1195" s="579"/>
      <c r="P1195" s="568" t="str">
        <f>IF(LEFT(B1195,5)="09735",
    IF(ISNA(VLOOKUP(Tabla13[[#This Row],[Apoyo]],'LM SAP'!A:G,1,FALSE)),
        "No Disponible",
        IF(VLOOKUP(Tabla13[[#This Row],[Apoyo]],'LM SAP'!A:AD,9,FALSE)="RR",
            "Disponible",
            "Firmas SAP"
        )
    ),
    "CONSULTAR"
)</f>
        <v>CONSULTAR</v>
      </c>
      <c r="Q1195" s="553"/>
      <c r="S1195" s="553"/>
      <c r="T1195" s="567"/>
      <c r="X1195" s="466"/>
    </row>
    <row r="1196" spans="1:24" ht="15" customHeight="1" x14ac:dyDescent="0.25">
      <c r="K1196"/>
    </row>
    <row r="1197" spans="1:24" ht="15" customHeight="1" x14ac:dyDescent="0.25">
      <c r="K1197"/>
    </row>
    <row r="1198" spans="1:24" ht="15" customHeight="1" x14ac:dyDescent="0.25">
      <c r="K1198"/>
    </row>
    <row r="1199" spans="1:24" ht="15" customHeight="1" x14ac:dyDescent="0.25">
      <c r="K1199"/>
    </row>
    <row r="1200" spans="1:24" ht="15" customHeight="1" x14ac:dyDescent="0.25">
      <c r="K1200"/>
    </row>
    <row r="1201" spans="11:11" ht="15" customHeight="1" x14ac:dyDescent="0.25">
      <c r="K1201"/>
    </row>
    <row r="1202" spans="11:11" ht="15" customHeight="1" x14ac:dyDescent="0.25">
      <c r="K1202"/>
    </row>
    <row r="1203" spans="11:11" ht="15" customHeight="1" x14ac:dyDescent="0.25">
      <c r="K1203"/>
    </row>
    <row r="1204" spans="11:11" ht="15" customHeight="1" x14ac:dyDescent="0.25">
      <c r="K1204"/>
    </row>
    <row r="1205" spans="11:11" ht="15" customHeight="1" x14ac:dyDescent="0.25">
      <c r="K1205"/>
    </row>
    <row r="1206" spans="11:11" ht="15" customHeight="1" x14ac:dyDescent="0.25">
      <c r="K1206"/>
    </row>
    <row r="1207" spans="11:11" ht="15" customHeight="1" x14ac:dyDescent="0.25">
      <c r="K1207"/>
    </row>
    <row r="1208" spans="11:11" ht="15" customHeight="1" x14ac:dyDescent="0.25">
      <c r="K1208"/>
    </row>
    <row r="1209" spans="11:11" ht="15" customHeight="1" x14ac:dyDescent="0.25">
      <c r="K1209"/>
    </row>
    <row r="1210" spans="11:11" ht="15" customHeight="1" x14ac:dyDescent="0.25">
      <c r="K1210"/>
    </row>
    <row r="1211" spans="11:11" ht="15" customHeight="1" x14ac:dyDescent="0.25">
      <c r="K1211"/>
    </row>
    <row r="1212" spans="11:11" ht="15" customHeight="1" x14ac:dyDescent="0.25">
      <c r="K1212"/>
    </row>
    <row r="1213" spans="11:11" ht="15" customHeight="1" x14ac:dyDescent="0.25">
      <c r="K1213"/>
    </row>
    <row r="1214" spans="11:11" ht="15" customHeight="1" x14ac:dyDescent="0.25">
      <c r="K1214"/>
    </row>
    <row r="1215" spans="11:11" ht="15" customHeight="1" x14ac:dyDescent="0.25">
      <c r="K1215"/>
    </row>
    <row r="1216" spans="11:11" ht="15" customHeight="1" x14ac:dyDescent="0.25">
      <c r="K1216"/>
    </row>
    <row r="1217" spans="11:11" ht="15" customHeight="1" x14ac:dyDescent="0.25">
      <c r="K1217"/>
    </row>
    <row r="1218" spans="11:11" ht="15" customHeight="1" x14ac:dyDescent="0.25">
      <c r="K1218"/>
    </row>
    <row r="1219" spans="11:11" ht="15" customHeight="1" x14ac:dyDescent="0.25">
      <c r="K1219"/>
    </row>
    <row r="1220" spans="11:11" ht="15" customHeight="1" x14ac:dyDescent="0.25">
      <c r="K1220"/>
    </row>
    <row r="1221" spans="11:11" ht="15" customHeight="1" x14ac:dyDescent="0.25">
      <c r="K1221"/>
    </row>
    <row r="1222" spans="11:11" ht="15" customHeight="1" x14ac:dyDescent="0.25">
      <c r="K1222"/>
    </row>
    <row r="1223" spans="11:11" ht="15" customHeight="1" x14ac:dyDescent="0.25">
      <c r="K1223"/>
    </row>
    <row r="1224" spans="11:11" ht="15" customHeight="1" x14ac:dyDescent="0.25">
      <c r="K1224"/>
    </row>
    <row r="1225" spans="11:11" ht="15" customHeight="1" x14ac:dyDescent="0.25">
      <c r="K1225"/>
    </row>
    <row r="1226" spans="11:11" ht="15" customHeight="1" x14ac:dyDescent="0.25">
      <c r="K1226"/>
    </row>
    <row r="1227" spans="11:11" ht="15" customHeight="1" x14ac:dyDescent="0.25">
      <c r="K1227"/>
    </row>
    <row r="1228" spans="11:11" ht="15" customHeight="1" x14ac:dyDescent="0.25">
      <c r="K1228"/>
    </row>
    <row r="1229" spans="11:11" ht="15" customHeight="1" x14ac:dyDescent="0.25">
      <c r="K1229"/>
    </row>
    <row r="1230" spans="11:11" ht="15" customHeight="1" x14ac:dyDescent="0.25">
      <c r="K1230"/>
    </row>
    <row r="1231" spans="11:11" ht="15" customHeight="1" x14ac:dyDescent="0.25">
      <c r="K1231"/>
    </row>
    <row r="1232" spans="11:11" ht="15" customHeight="1" x14ac:dyDescent="0.25">
      <c r="K1232"/>
    </row>
    <row r="1233" spans="11:11" ht="15" customHeight="1" x14ac:dyDescent="0.25">
      <c r="K1233"/>
    </row>
    <row r="1234" spans="11:11" ht="15" customHeight="1" x14ac:dyDescent="0.25">
      <c r="K1234"/>
    </row>
    <row r="1235" spans="11:11" ht="15" customHeight="1" x14ac:dyDescent="0.25">
      <c r="K1235"/>
    </row>
    <row r="1236" spans="11:11" ht="15" customHeight="1" x14ac:dyDescent="0.25">
      <c r="K1236"/>
    </row>
    <row r="1237" spans="11:11" ht="15" customHeight="1" x14ac:dyDescent="0.25">
      <c r="K1237"/>
    </row>
    <row r="1238" spans="11:11" ht="15" customHeight="1" x14ac:dyDescent="0.25">
      <c r="K1238"/>
    </row>
    <row r="1239" spans="11:11" ht="15" customHeight="1" x14ac:dyDescent="0.25">
      <c r="K1239"/>
    </row>
    <row r="1240" spans="11:11" ht="15" customHeight="1" x14ac:dyDescent="0.25">
      <c r="K1240"/>
    </row>
    <row r="1241" spans="11:11" ht="15" customHeight="1" x14ac:dyDescent="0.25">
      <c r="K1241"/>
    </row>
    <row r="1242" spans="11:11" ht="15" customHeight="1" x14ac:dyDescent="0.25">
      <c r="K1242"/>
    </row>
    <row r="1243" spans="11:11" ht="15" customHeight="1" x14ac:dyDescent="0.25">
      <c r="K1243"/>
    </row>
    <row r="1244" spans="11:11" ht="15" customHeight="1" x14ac:dyDescent="0.25">
      <c r="K1244"/>
    </row>
    <row r="1245" spans="11:11" ht="15" customHeight="1" x14ac:dyDescent="0.25">
      <c r="K1245"/>
    </row>
    <row r="1246" spans="11:11" ht="15" customHeight="1" x14ac:dyDescent="0.25">
      <c r="K1246"/>
    </row>
    <row r="1247" spans="11:11" ht="15" customHeight="1" x14ac:dyDescent="0.25">
      <c r="K1247"/>
    </row>
    <row r="1248" spans="11:11" ht="15" customHeight="1" x14ac:dyDescent="0.25">
      <c r="K1248"/>
    </row>
    <row r="1249" spans="11:11" ht="15" customHeight="1" x14ac:dyDescent="0.25">
      <c r="K1249"/>
    </row>
    <row r="1250" spans="11:11" ht="15" customHeight="1" x14ac:dyDescent="0.25">
      <c r="K1250"/>
    </row>
    <row r="1251" spans="11:11" ht="15" customHeight="1" x14ac:dyDescent="0.25">
      <c r="K1251"/>
    </row>
    <row r="1252" spans="11:11" ht="15" customHeight="1" x14ac:dyDescent="0.25">
      <c r="K1252"/>
    </row>
    <row r="1253" spans="11:11" ht="15" customHeight="1" x14ac:dyDescent="0.25">
      <c r="K1253"/>
    </row>
    <row r="1254" spans="11:11" ht="15" customHeight="1" x14ac:dyDescent="0.25">
      <c r="K1254"/>
    </row>
    <row r="1255" spans="11:11" ht="15" customHeight="1" x14ac:dyDescent="0.25">
      <c r="K1255"/>
    </row>
    <row r="1256" spans="11:11" ht="15" customHeight="1" x14ac:dyDescent="0.25">
      <c r="K1256"/>
    </row>
    <row r="1257" spans="11:11" ht="15" customHeight="1" x14ac:dyDescent="0.25">
      <c r="K1257"/>
    </row>
    <row r="1258" spans="11:11" ht="15" customHeight="1" x14ac:dyDescent="0.25">
      <c r="K1258"/>
    </row>
    <row r="1259" spans="11:11" ht="15" customHeight="1" x14ac:dyDescent="0.25">
      <c r="K1259"/>
    </row>
    <row r="1260" spans="11:11" ht="15" customHeight="1" x14ac:dyDescent="0.25">
      <c r="K1260"/>
    </row>
    <row r="1261" spans="11:11" ht="15" customHeight="1" x14ac:dyDescent="0.25">
      <c r="K1261"/>
    </row>
    <row r="1262" spans="11:11" ht="15" customHeight="1" x14ac:dyDescent="0.25">
      <c r="K1262"/>
    </row>
    <row r="1263" spans="11:11" ht="15" customHeight="1" x14ac:dyDescent="0.25">
      <c r="K1263"/>
    </row>
    <row r="1264" spans="11:11" ht="15" customHeight="1" x14ac:dyDescent="0.25">
      <c r="K1264"/>
    </row>
    <row r="1265" spans="11:11" ht="15" customHeight="1" x14ac:dyDescent="0.25">
      <c r="K1265"/>
    </row>
    <row r="1266" spans="11:11" ht="15" customHeight="1" x14ac:dyDescent="0.25">
      <c r="K1266"/>
    </row>
    <row r="1267" spans="11:11" ht="15" customHeight="1" x14ac:dyDescent="0.25">
      <c r="K1267"/>
    </row>
    <row r="1268" spans="11:11" ht="15" customHeight="1" x14ac:dyDescent="0.25">
      <c r="K1268"/>
    </row>
    <row r="1269" spans="11:11" ht="15" customHeight="1" x14ac:dyDescent="0.25">
      <c r="K1269"/>
    </row>
    <row r="1270" spans="11:11" ht="15" customHeight="1" x14ac:dyDescent="0.25">
      <c r="K1270"/>
    </row>
    <row r="1271" spans="11:11" ht="15" customHeight="1" x14ac:dyDescent="0.25">
      <c r="K1271"/>
    </row>
    <row r="1272" spans="11:11" ht="15" customHeight="1" x14ac:dyDescent="0.25">
      <c r="K1272"/>
    </row>
    <row r="1273" spans="11:11" ht="15" customHeight="1" x14ac:dyDescent="0.25">
      <c r="K1273"/>
    </row>
    <row r="1274" spans="11:11" ht="15" customHeight="1" x14ac:dyDescent="0.25">
      <c r="K1274"/>
    </row>
    <row r="1275" spans="11:11" ht="15" customHeight="1" x14ac:dyDescent="0.25">
      <c r="K1275"/>
    </row>
    <row r="1276" spans="11:11" ht="15" customHeight="1" x14ac:dyDescent="0.25">
      <c r="K1276"/>
    </row>
    <row r="1277" spans="11:11" ht="15" customHeight="1" x14ac:dyDescent="0.25">
      <c r="K1277"/>
    </row>
    <row r="1278" spans="11:11" ht="15" customHeight="1" x14ac:dyDescent="0.25">
      <c r="K1278"/>
    </row>
    <row r="1279" spans="11:11" ht="15" customHeight="1" x14ac:dyDescent="0.25">
      <c r="K1279"/>
    </row>
    <row r="1280" spans="11:11" ht="15" customHeight="1" x14ac:dyDescent="0.25">
      <c r="K1280"/>
    </row>
    <row r="1281" spans="11:11" ht="15" customHeight="1" x14ac:dyDescent="0.25">
      <c r="K1281"/>
    </row>
    <row r="1282" spans="11:11" ht="15" customHeight="1" x14ac:dyDescent="0.25">
      <c r="K1282"/>
    </row>
    <row r="1283" spans="11:11" ht="15" customHeight="1" x14ac:dyDescent="0.25">
      <c r="K1283"/>
    </row>
    <row r="1284" spans="11:11" ht="15" customHeight="1" x14ac:dyDescent="0.25">
      <c r="K1284"/>
    </row>
    <row r="1285" spans="11:11" ht="15" customHeight="1" x14ac:dyDescent="0.25">
      <c r="K1285"/>
    </row>
    <row r="1286" spans="11:11" ht="15" customHeight="1" x14ac:dyDescent="0.25">
      <c r="K1286"/>
    </row>
    <row r="1287" spans="11:11" ht="15" customHeight="1" x14ac:dyDescent="0.25">
      <c r="K1287"/>
    </row>
    <row r="1288" spans="11:11" ht="15" customHeight="1" x14ac:dyDescent="0.25">
      <c r="K1288"/>
    </row>
    <row r="1289" spans="11:11" ht="15" customHeight="1" x14ac:dyDescent="0.25">
      <c r="K1289"/>
    </row>
    <row r="1290" spans="11:11" ht="15" customHeight="1" x14ac:dyDescent="0.25">
      <c r="K1290"/>
    </row>
    <row r="1291" spans="11:11" ht="15" customHeight="1" x14ac:dyDescent="0.25">
      <c r="K1291"/>
    </row>
    <row r="1292" spans="11:11" ht="15" customHeight="1" x14ac:dyDescent="0.25">
      <c r="K1292"/>
    </row>
    <row r="1293" spans="11:11" ht="15" customHeight="1" x14ac:dyDescent="0.25">
      <c r="K1293"/>
    </row>
    <row r="1294" spans="11:11" ht="15" customHeight="1" x14ac:dyDescent="0.25">
      <c r="K1294"/>
    </row>
    <row r="1295" spans="11:11" ht="15" customHeight="1" x14ac:dyDescent="0.25">
      <c r="K1295"/>
    </row>
    <row r="1296" spans="11:11" ht="15" customHeight="1" x14ac:dyDescent="0.25">
      <c r="K1296"/>
    </row>
    <row r="1297" spans="11:11" ht="15" customHeight="1" x14ac:dyDescent="0.25">
      <c r="K1297"/>
    </row>
    <row r="1298" spans="11:11" ht="15" customHeight="1" x14ac:dyDescent="0.25">
      <c r="K1298"/>
    </row>
    <row r="1299" spans="11:11" ht="15" customHeight="1" x14ac:dyDescent="0.25">
      <c r="K1299"/>
    </row>
    <row r="1300" spans="11:11" ht="15" customHeight="1" x14ac:dyDescent="0.25">
      <c r="K1300"/>
    </row>
    <row r="1301" spans="11:11" ht="15" customHeight="1" x14ac:dyDescent="0.25">
      <c r="K1301"/>
    </row>
    <row r="1302" spans="11:11" ht="15" customHeight="1" x14ac:dyDescent="0.25">
      <c r="K1302"/>
    </row>
    <row r="1303" spans="11:11" ht="15" customHeight="1" x14ac:dyDescent="0.25">
      <c r="K1303"/>
    </row>
    <row r="1304" spans="11:11" ht="15" customHeight="1" x14ac:dyDescent="0.25">
      <c r="K1304"/>
    </row>
    <row r="1305" spans="11:11" ht="15" customHeight="1" x14ac:dyDescent="0.25">
      <c r="K1305"/>
    </row>
    <row r="1306" spans="11:11" ht="15" customHeight="1" x14ac:dyDescent="0.25">
      <c r="K1306"/>
    </row>
    <row r="1307" spans="11:11" ht="15" customHeight="1" x14ac:dyDescent="0.25">
      <c r="K1307"/>
    </row>
    <row r="1308" spans="11:11" ht="15" customHeight="1" x14ac:dyDescent="0.25">
      <c r="K1308"/>
    </row>
    <row r="1309" spans="11:11" ht="15" customHeight="1" x14ac:dyDescent="0.25">
      <c r="K1309"/>
    </row>
    <row r="1310" spans="11:11" ht="15" customHeight="1" x14ac:dyDescent="0.25">
      <c r="K1310"/>
    </row>
    <row r="1311" spans="11:11" ht="15" customHeight="1" x14ac:dyDescent="0.25">
      <c r="K1311"/>
    </row>
    <row r="1312" spans="11:11" ht="15" customHeight="1" x14ac:dyDescent="0.25">
      <c r="K1312"/>
    </row>
    <row r="1313" spans="11:11" ht="15" customHeight="1" x14ac:dyDescent="0.25">
      <c r="K1313"/>
    </row>
    <row r="1314" spans="11:11" ht="15" customHeight="1" x14ac:dyDescent="0.25">
      <c r="K1314"/>
    </row>
    <row r="1315" spans="11:11" ht="15" customHeight="1" x14ac:dyDescent="0.25">
      <c r="K1315"/>
    </row>
    <row r="1316" spans="11:11" ht="15" customHeight="1" x14ac:dyDescent="0.25">
      <c r="K1316"/>
    </row>
    <row r="1317" spans="11:11" ht="15" customHeight="1" x14ac:dyDescent="0.25">
      <c r="K1317"/>
    </row>
    <row r="1318" spans="11:11" ht="15" customHeight="1" x14ac:dyDescent="0.25">
      <c r="K1318"/>
    </row>
    <row r="1319" spans="11:11" ht="15" customHeight="1" x14ac:dyDescent="0.25">
      <c r="K1319"/>
    </row>
    <row r="1320" spans="11:11" ht="15" customHeight="1" x14ac:dyDescent="0.25">
      <c r="K1320"/>
    </row>
    <row r="1321" spans="11:11" ht="15" customHeight="1" x14ac:dyDescent="0.25">
      <c r="K1321"/>
    </row>
    <row r="1322" spans="11:11" ht="15" customHeight="1" x14ac:dyDescent="0.25">
      <c r="K1322"/>
    </row>
    <row r="1323" spans="11:11" ht="15" customHeight="1" x14ac:dyDescent="0.25">
      <c r="K1323"/>
    </row>
    <row r="1324" spans="11:11" ht="15" customHeight="1" x14ac:dyDescent="0.25">
      <c r="K1324"/>
    </row>
    <row r="1325" spans="11:11" ht="15" customHeight="1" x14ac:dyDescent="0.25">
      <c r="K1325"/>
    </row>
    <row r="1326" spans="11:11" ht="15" customHeight="1" x14ac:dyDescent="0.25">
      <c r="K1326"/>
    </row>
    <row r="1327" spans="11:11" ht="15" customHeight="1" x14ac:dyDescent="0.25">
      <c r="K1327"/>
    </row>
    <row r="1328" spans="11:11" ht="15" customHeight="1" x14ac:dyDescent="0.25">
      <c r="K1328"/>
    </row>
    <row r="1329" spans="11:11" ht="15" customHeight="1" x14ac:dyDescent="0.25">
      <c r="K1329"/>
    </row>
    <row r="1330" spans="11:11" ht="15" customHeight="1" x14ac:dyDescent="0.25">
      <c r="K1330"/>
    </row>
    <row r="1331" spans="11:11" ht="15" customHeight="1" x14ac:dyDescent="0.25">
      <c r="K1331"/>
    </row>
    <row r="1332" spans="11:11" ht="15" customHeight="1" x14ac:dyDescent="0.25">
      <c r="K1332"/>
    </row>
    <row r="1333" spans="11:11" ht="15" customHeight="1" x14ac:dyDescent="0.25">
      <c r="K1333"/>
    </row>
    <row r="1334" spans="11:11" ht="15" customHeight="1" x14ac:dyDescent="0.25">
      <c r="K1334"/>
    </row>
    <row r="1335" spans="11:11" ht="15" customHeight="1" x14ac:dyDescent="0.25">
      <c r="K1335"/>
    </row>
    <row r="1336" spans="11:11" ht="15" customHeight="1" x14ac:dyDescent="0.25">
      <c r="K1336"/>
    </row>
    <row r="1337" spans="11:11" ht="15" customHeight="1" x14ac:dyDescent="0.25">
      <c r="K1337"/>
    </row>
    <row r="1338" spans="11:11" ht="15" customHeight="1" x14ac:dyDescent="0.25">
      <c r="K1338"/>
    </row>
    <row r="1339" spans="11:11" ht="15" customHeight="1" x14ac:dyDescent="0.25">
      <c r="K1339"/>
    </row>
    <row r="1340" spans="11:11" ht="15" customHeight="1" x14ac:dyDescent="0.25">
      <c r="K1340"/>
    </row>
    <row r="1341" spans="11:11" ht="15" customHeight="1" x14ac:dyDescent="0.25">
      <c r="K1341"/>
    </row>
    <row r="1342" spans="11:11" ht="15" customHeight="1" x14ac:dyDescent="0.25">
      <c r="K1342"/>
    </row>
    <row r="1343" spans="11:11" ht="15" customHeight="1" x14ac:dyDescent="0.25">
      <c r="K1343"/>
    </row>
    <row r="1344" spans="11:11" ht="15" customHeight="1" x14ac:dyDescent="0.25">
      <c r="K1344"/>
    </row>
    <row r="1345" spans="11:11" ht="15" customHeight="1" x14ac:dyDescent="0.25">
      <c r="K1345"/>
    </row>
    <row r="1346" spans="11:11" ht="15" customHeight="1" x14ac:dyDescent="0.25">
      <c r="K1346"/>
    </row>
    <row r="1347" spans="11:11" ht="15" customHeight="1" x14ac:dyDescent="0.25">
      <c r="K1347"/>
    </row>
    <row r="1348" spans="11:11" ht="15" customHeight="1" x14ac:dyDescent="0.25">
      <c r="K1348"/>
    </row>
    <row r="1349" spans="11:11" ht="15" customHeight="1" x14ac:dyDescent="0.25">
      <c r="K1349"/>
    </row>
    <row r="1350" spans="11:11" ht="15" customHeight="1" x14ac:dyDescent="0.25">
      <c r="K1350"/>
    </row>
    <row r="1351" spans="11:11" ht="15" customHeight="1" x14ac:dyDescent="0.25">
      <c r="K1351"/>
    </row>
    <row r="1352" spans="11:11" ht="15" customHeight="1" x14ac:dyDescent="0.25">
      <c r="K1352"/>
    </row>
    <row r="1353" spans="11:11" ht="15" customHeight="1" x14ac:dyDescent="0.25">
      <c r="K1353"/>
    </row>
    <row r="1354" spans="11:11" ht="15" customHeight="1" x14ac:dyDescent="0.25">
      <c r="K1354"/>
    </row>
    <row r="1355" spans="11:11" ht="15" customHeight="1" x14ac:dyDescent="0.25">
      <c r="K1355"/>
    </row>
    <row r="1356" spans="11:11" ht="15" customHeight="1" x14ac:dyDescent="0.25">
      <c r="K1356"/>
    </row>
    <row r="1357" spans="11:11" ht="15" customHeight="1" x14ac:dyDescent="0.25">
      <c r="K1357"/>
    </row>
    <row r="1358" spans="11:11" ht="15" customHeight="1" x14ac:dyDescent="0.25">
      <c r="K1358"/>
    </row>
    <row r="1359" spans="11:11" ht="15" customHeight="1" x14ac:dyDescent="0.25">
      <c r="K1359"/>
    </row>
    <row r="1360" spans="11:11" ht="15" customHeight="1" x14ac:dyDescent="0.25">
      <c r="K1360"/>
    </row>
    <row r="1361" spans="11:11" ht="15" customHeight="1" x14ac:dyDescent="0.25">
      <c r="K1361"/>
    </row>
    <row r="1362" spans="11:11" ht="15" customHeight="1" x14ac:dyDescent="0.25">
      <c r="K1362"/>
    </row>
    <row r="1363" spans="11:11" ht="15" customHeight="1" x14ac:dyDescent="0.25">
      <c r="K1363"/>
    </row>
    <row r="1364" spans="11:11" ht="15" customHeight="1" x14ac:dyDescent="0.25">
      <c r="K1364"/>
    </row>
    <row r="1365" spans="11:11" ht="15" customHeight="1" x14ac:dyDescent="0.25">
      <c r="K1365"/>
    </row>
    <row r="1366" spans="11:11" ht="15" customHeight="1" x14ac:dyDescent="0.25">
      <c r="K1366"/>
    </row>
    <row r="1367" spans="11:11" ht="15" customHeight="1" x14ac:dyDescent="0.25">
      <c r="K1367"/>
    </row>
    <row r="1368" spans="11:11" ht="15" customHeight="1" x14ac:dyDescent="0.25">
      <c r="K1368"/>
    </row>
    <row r="1369" spans="11:11" ht="15" customHeight="1" x14ac:dyDescent="0.25">
      <c r="K1369"/>
    </row>
    <row r="1370" spans="11:11" ht="15" customHeight="1" x14ac:dyDescent="0.25">
      <c r="K1370"/>
    </row>
    <row r="1371" spans="11:11" ht="15" customHeight="1" x14ac:dyDescent="0.25">
      <c r="K1371"/>
    </row>
    <row r="1372" spans="11:11" ht="15" customHeight="1" x14ac:dyDescent="0.25">
      <c r="K1372"/>
    </row>
    <row r="1373" spans="11:11" ht="15" customHeight="1" x14ac:dyDescent="0.25">
      <c r="K1373"/>
    </row>
    <row r="1374" spans="11:11" ht="15" customHeight="1" x14ac:dyDescent="0.25">
      <c r="K1374"/>
    </row>
    <row r="1375" spans="11:11" ht="15" customHeight="1" x14ac:dyDescent="0.25">
      <c r="K1375"/>
    </row>
    <row r="1376" spans="11:11" ht="15" customHeight="1" x14ac:dyDescent="0.25">
      <c r="K1376"/>
    </row>
    <row r="1377" spans="11:11" ht="15" customHeight="1" x14ac:dyDescent="0.25">
      <c r="K1377"/>
    </row>
    <row r="1378" spans="11:11" ht="15" customHeight="1" x14ac:dyDescent="0.25">
      <c r="K1378"/>
    </row>
    <row r="1379" spans="11:11" ht="15" customHeight="1" x14ac:dyDescent="0.25">
      <c r="K1379"/>
    </row>
    <row r="1380" spans="11:11" ht="15" customHeight="1" x14ac:dyDescent="0.25">
      <c r="K1380"/>
    </row>
    <row r="1381" spans="11:11" ht="15" customHeight="1" x14ac:dyDescent="0.25">
      <c r="K1381"/>
    </row>
    <row r="1382" spans="11:11" ht="15" customHeight="1" x14ac:dyDescent="0.25">
      <c r="K1382"/>
    </row>
    <row r="1383" spans="11:11" ht="15" customHeight="1" x14ac:dyDescent="0.25">
      <c r="K1383"/>
    </row>
    <row r="1384" spans="11:11" ht="15" customHeight="1" x14ac:dyDescent="0.25">
      <c r="K1384"/>
    </row>
    <row r="1385" spans="11:11" ht="15" customHeight="1" x14ac:dyDescent="0.25">
      <c r="K1385"/>
    </row>
    <row r="1386" spans="11:11" ht="15" customHeight="1" x14ac:dyDescent="0.25">
      <c r="K1386"/>
    </row>
    <row r="1387" spans="11:11" ht="15" customHeight="1" x14ac:dyDescent="0.25">
      <c r="K1387"/>
    </row>
    <row r="1388" spans="11:11" ht="15" customHeight="1" x14ac:dyDescent="0.25">
      <c r="K1388"/>
    </row>
    <row r="1389" spans="11:11" ht="15" customHeight="1" x14ac:dyDescent="0.25">
      <c r="K1389"/>
    </row>
    <row r="1390" spans="11:11" ht="15" customHeight="1" x14ac:dyDescent="0.25">
      <c r="K1390"/>
    </row>
    <row r="1391" spans="11:11" ht="15" customHeight="1" x14ac:dyDescent="0.25">
      <c r="K1391"/>
    </row>
    <row r="1392" spans="11:11" ht="15" customHeight="1" x14ac:dyDescent="0.25">
      <c r="K1392"/>
    </row>
    <row r="1393" spans="11:11" ht="15" customHeight="1" x14ac:dyDescent="0.25">
      <c r="K1393"/>
    </row>
    <row r="1394" spans="11:11" ht="15" customHeight="1" x14ac:dyDescent="0.25">
      <c r="K1394"/>
    </row>
    <row r="1395" spans="11:11" ht="15" customHeight="1" x14ac:dyDescent="0.25">
      <c r="K1395"/>
    </row>
    <row r="1396" spans="11:11" ht="15" customHeight="1" x14ac:dyDescent="0.25">
      <c r="K1396"/>
    </row>
    <row r="1397" spans="11:11" ht="15" customHeight="1" x14ac:dyDescent="0.25">
      <c r="K1397"/>
    </row>
    <row r="1398" spans="11:11" ht="15" customHeight="1" x14ac:dyDescent="0.25">
      <c r="K1398"/>
    </row>
    <row r="1399" spans="11:11" ht="15" customHeight="1" x14ac:dyDescent="0.25">
      <c r="K1399"/>
    </row>
    <row r="1400" spans="11:11" ht="15" customHeight="1" x14ac:dyDescent="0.25">
      <c r="K1400"/>
    </row>
    <row r="1401" spans="11:11" ht="15" customHeight="1" x14ac:dyDescent="0.25">
      <c r="K1401"/>
    </row>
    <row r="1402" spans="11:11" ht="15" customHeight="1" x14ac:dyDescent="0.25">
      <c r="K1402"/>
    </row>
    <row r="1403" spans="11:11" ht="15" customHeight="1" x14ac:dyDescent="0.25">
      <c r="K1403"/>
    </row>
    <row r="1404" spans="11:11" ht="15" customHeight="1" x14ac:dyDescent="0.25">
      <c r="K1404"/>
    </row>
    <row r="1405" spans="11:11" ht="15" customHeight="1" x14ac:dyDescent="0.25">
      <c r="K1405"/>
    </row>
    <row r="1406" spans="11:11" ht="15" customHeight="1" x14ac:dyDescent="0.25">
      <c r="K1406"/>
    </row>
    <row r="1407" spans="11:11" ht="15" customHeight="1" x14ac:dyDescent="0.25">
      <c r="K1407"/>
    </row>
    <row r="1408" spans="11:11" ht="15" customHeight="1" x14ac:dyDescent="0.25">
      <c r="K1408"/>
    </row>
    <row r="1409" spans="11:11" ht="15" customHeight="1" x14ac:dyDescent="0.25">
      <c r="K1409"/>
    </row>
    <row r="1410" spans="11:11" ht="15" customHeight="1" x14ac:dyDescent="0.25">
      <c r="K1410"/>
    </row>
    <row r="1411" spans="11:11" ht="15" customHeight="1" x14ac:dyDescent="0.25">
      <c r="K1411"/>
    </row>
    <row r="1412" spans="11:11" ht="15" customHeight="1" x14ac:dyDescent="0.25">
      <c r="K1412"/>
    </row>
    <row r="1413" spans="11:11" ht="15" customHeight="1" x14ac:dyDescent="0.25">
      <c r="K1413"/>
    </row>
    <row r="1414" spans="11:11" ht="15" customHeight="1" x14ac:dyDescent="0.25">
      <c r="K1414"/>
    </row>
    <row r="1415" spans="11:11" ht="15" customHeight="1" x14ac:dyDescent="0.25">
      <c r="K1415"/>
    </row>
    <row r="1416" spans="11:11" ht="15" customHeight="1" x14ac:dyDescent="0.25">
      <c r="K1416"/>
    </row>
    <row r="1417" spans="11:11" ht="15" customHeight="1" x14ac:dyDescent="0.25">
      <c r="K1417"/>
    </row>
    <row r="1418" spans="11:11" ht="15" customHeight="1" x14ac:dyDescent="0.25">
      <c r="K1418"/>
    </row>
    <row r="1419" spans="11:11" ht="15" customHeight="1" x14ac:dyDescent="0.25">
      <c r="K1419"/>
    </row>
    <row r="1420" spans="11:11" ht="15" customHeight="1" x14ac:dyDescent="0.25">
      <c r="K1420"/>
    </row>
    <row r="1421" spans="11:11" ht="15" customHeight="1" x14ac:dyDescent="0.25">
      <c r="K1421"/>
    </row>
    <row r="1422" spans="11:11" ht="15" customHeight="1" x14ac:dyDescent="0.25">
      <c r="K1422"/>
    </row>
    <row r="1423" spans="11:11" ht="15" customHeight="1" x14ac:dyDescent="0.25">
      <c r="K1423"/>
    </row>
    <row r="1424" spans="11:11" ht="15" customHeight="1" x14ac:dyDescent="0.25">
      <c r="K1424"/>
    </row>
    <row r="1425" spans="11:11" ht="15" customHeight="1" x14ac:dyDescent="0.25">
      <c r="K1425"/>
    </row>
    <row r="1426" spans="11:11" ht="15" customHeight="1" x14ac:dyDescent="0.25">
      <c r="K1426"/>
    </row>
    <row r="1427" spans="11:11" ht="15" customHeight="1" x14ac:dyDescent="0.25">
      <c r="K1427"/>
    </row>
    <row r="1428" spans="11:11" ht="15" customHeight="1" x14ac:dyDescent="0.25">
      <c r="K1428"/>
    </row>
    <row r="1429" spans="11:11" ht="15" customHeight="1" x14ac:dyDescent="0.25">
      <c r="K1429"/>
    </row>
    <row r="1430" spans="11:11" ht="15" customHeight="1" x14ac:dyDescent="0.25">
      <c r="K1430"/>
    </row>
    <row r="1431" spans="11:11" ht="15" customHeight="1" x14ac:dyDescent="0.25">
      <c r="K1431"/>
    </row>
    <row r="1432" spans="11:11" ht="15" customHeight="1" x14ac:dyDescent="0.25">
      <c r="K1432"/>
    </row>
    <row r="1433" spans="11:11" ht="15" customHeight="1" x14ac:dyDescent="0.25">
      <c r="K1433"/>
    </row>
    <row r="1434" spans="11:11" ht="15" customHeight="1" x14ac:dyDescent="0.25">
      <c r="K1434"/>
    </row>
    <row r="1435" spans="11:11" ht="15" customHeight="1" x14ac:dyDescent="0.25">
      <c r="K1435"/>
    </row>
    <row r="1436" spans="11:11" ht="15" customHeight="1" x14ac:dyDescent="0.25">
      <c r="K1436"/>
    </row>
    <row r="1437" spans="11:11" ht="15" customHeight="1" x14ac:dyDescent="0.25">
      <c r="K1437"/>
    </row>
    <row r="1438" spans="11:11" ht="15" customHeight="1" x14ac:dyDescent="0.25">
      <c r="K1438"/>
    </row>
    <row r="1439" spans="11:11" ht="15" customHeight="1" x14ac:dyDescent="0.25">
      <c r="K1439"/>
    </row>
    <row r="1440" spans="11:11" ht="15" customHeight="1" x14ac:dyDescent="0.25">
      <c r="K1440"/>
    </row>
    <row r="1441" spans="11:11" ht="15" customHeight="1" x14ac:dyDescent="0.25">
      <c r="K1441"/>
    </row>
    <row r="1442" spans="11:11" ht="15" customHeight="1" x14ac:dyDescent="0.25">
      <c r="K1442"/>
    </row>
    <row r="1443" spans="11:11" ht="15" customHeight="1" x14ac:dyDescent="0.25">
      <c r="K1443"/>
    </row>
    <row r="1444" spans="11:11" ht="15" customHeight="1" x14ac:dyDescent="0.25">
      <c r="K1444"/>
    </row>
    <row r="1445" spans="11:11" ht="15" customHeight="1" x14ac:dyDescent="0.25">
      <c r="K1445"/>
    </row>
    <row r="1446" spans="11:11" ht="15" customHeight="1" x14ac:dyDescent="0.25">
      <c r="K1446"/>
    </row>
    <row r="1447" spans="11:11" ht="15" customHeight="1" x14ac:dyDescent="0.25">
      <c r="K1447"/>
    </row>
    <row r="1448" spans="11:11" ht="15" customHeight="1" x14ac:dyDescent="0.25">
      <c r="K1448"/>
    </row>
    <row r="1449" spans="11:11" ht="15" customHeight="1" x14ac:dyDescent="0.25">
      <c r="K1449"/>
    </row>
    <row r="1450" spans="11:11" ht="15" customHeight="1" x14ac:dyDescent="0.25">
      <c r="K1450"/>
    </row>
    <row r="1451" spans="11:11" ht="15" customHeight="1" x14ac:dyDescent="0.25">
      <c r="K1451"/>
    </row>
    <row r="1452" spans="11:11" ht="15" customHeight="1" x14ac:dyDescent="0.25">
      <c r="K1452"/>
    </row>
    <row r="1453" spans="11:11" ht="15" customHeight="1" x14ac:dyDescent="0.25">
      <c r="K1453"/>
    </row>
    <row r="1454" spans="11:11" ht="15" customHeight="1" x14ac:dyDescent="0.25">
      <c r="K1454"/>
    </row>
    <row r="1455" spans="11:11" ht="15" customHeight="1" x14ac:dyDescent="0.25">
      <c r="K1455"/>
    </row>
    <row r="1456" spans="11:11" ht="15" customHeight="1" x14ac:dyDescent="0.25">
      <c r="K1456"/>
    </row>
    <row r="1457" spans="11:11" ht="15" customHeight="1" x14ac:dyDescent="0.25">
      <c r="K1457"/>
    </row>
    <row r="1458" spans="11:11" ht="15" customHeight="1" x14ac:dyDescent="0.25">
      <c r="K1458"/>
    </row>
    <row r="1459" spans="11:11" ht="15" customHeight="1" x14ac:dyDescent="0.25">
      <c r="K1459"/>
    </row>
    <row r="1460" spans="11:11" ht="15" customHeight="1" x14ac:dyDescent="0.25">
      <c r="K1460"/>
    </row>
    <row r="1461" spans="11:11" ht="15" customHeight="1" x14ac:dyDescent="0.25">
      <c r="K1461"/>
    </row>
    <row r="1462" spans="11:11" ht="15" customHeight="1" x14ac:dyDescent="0.25">
      <c r="K1462"/>
    </row>
    <row r="1463" spans="11:11" ht="15" customHeight="1" x14ac:dyDescent="0.25">
      <c r="K1463"/>
    </row>
    <row r="1464" spans="11:11" ht="15" customHeight="1" x14ac:dyDescent="0.25">
      <c r="K1464"/>
    </row>
    <row r="1465" spans="11:11" ht="15" customHeight="1" x14ac:dyDescent="0.25">
      <c r="K1465"/>
    </row>
    <row r="1466" spans="11:11" ht="15" customHeight="1" x14ac:dyDescent="0.25">
      <c r="K1466"/>
    </row>
    <row r="1467" spans="11:11" ht="15" customHeight="1" x14ac:dyDescent="0.25">
      <c r="K1467"/>
    </row>
    <row r="1468" spans="11:11" ht="15" customHeight="1" x14ac:dyDescent="0.25">
      <c r="K1468"/>
    </row>
    <row r="1469" spans="11:11" ht="15" customHeight="1" x14ac:dyDescent="0.25">
      <c r="K1469"/>
    </row>
    <row r="1470" spans="11:11" ht="15" customHeight="1" x14ac:dyDescent="0.25">
      <c r="K1470"/>
    </row>
    <row r="1471" spans="11:11" ht="15" customHeight="1" x14ac:dyDescent="0.25">
      <c r="K1471"/>
    </row>
    <row r="1472" spans="11:11" ht="15" customHeight="1" x14ac:dyDescent="0.25">
      <c r="K1472"/>
    </row>
    <row r="1473" spans="11:11" ht="15" customHeight="1" x14ac:dyDescent="0.25">
      <c r="K1473"/>
    </row>
    <row r="1474" spans="11:11" ht="15" customHeight="1" x14ac:dyDescent="0.25">
      <c r="K1474"/>
    </row>
    <row r="1475" spans="11:11" ht="15" customHeight="1" x14ac:dyDescent="0.25">
      <c r="K1475"/>
    </row>
    <row r="1476" spans="11:11" ht="15" customHeight="1" x14ac:dyDescent="0.25">
      <c r="K1476"/>
    </row>
    <row r="1477" spans="11:11" ht="15" customHeight="1" x14ac:dyDescent="0.25">
      <c r="K1477"/>
    </row>
    <row r="1478" spans="11:11" ht="15" customHeight="1" x14ac:dyDescent="0.25">
      <c r="K1478"/>
    </row>
    <row r="1479" spans="11:11" ht="15" customHeight="1" x14ac:dyDescent="0.25">
      <c r="K1479"/>
    </row>
    <row r="1480" spans="11:11" ht="15" customHeight="1" x14ac:dyDescent="0.25">
      <c r="K1480"/>
    </row>
    <row r="1481" spans="11:11" ht="15" customHeight="1" x14ac:dyDescent="0.25">
      <c r="K1481"/>
    </row>
    <row r="1482" spans="11:11" ht="15" customHeight="1" x14ac:dyDescent="0.25">
      <c r="K1482"/>
    </row>
    <row r="1483" spans="11:11" ht="15" customHeight="1" x14ac:dyDescent="0.25">
      <c r="K1483"/>
    </row>
    <row r="1484" spans="11:11" ht="15" customHeight="1" x14ac:dyDescent="0.25">
      <c r="K1484"/>
    </row>
    <row r="1485" spans="11:11" ht="15" customHeight="1" x14ac:dyDescent="0.25">
      <c r="K1485"/>
    </row>
    <row r="1486" spans="11:11" ht="15" customHeight="1" x14ac:dyDescent="0.25">
      <c r="K1486"/>
    </row>
    <row r="1487" spans="11:11" ht="15" customHeight="1" x14ac:dyDescent="0.25">
      <c r="K1487"/>
    </row>
    <row r="1488" spans="11:11" ht="15" customHeight="1" x14ac:dyDescent="0.25">
      <c r="K1488"/>
    </row>
    <row r="1489" spans="11:11" ht="15" customHeight="1" x14ac:dyDescent="0.25">
      <c r="K1489"/>
    </row>
    <row r="1490" spans="11:11" ht="15" customHeight="1" x14ac:dyDescent="0.25">
      <c r="K1490"/>
    </row>
    <row r="1491" spans="11:11" ht="15" customHeight="1" x14ac:dyDescent="0.25">
      <c r="K1491"/>
    </row>
    <row r="1492" spans="11:11" ht="15" customHeight="1" x14ac:dyDescent="0.25">
      <c r="K1492"/>
    </row>
    <row r="1493" spans="11:11" ht="15" customHeight="1" x14ac:dyDescent="0.25">
      <c r="K1493"/>
    </row>
    <row r="1494" spans="11:11" ht="15" customHeight="1" x14ac:dyDescent="0.25">
      <c r="K1494"/>
    </row>
    <row r="1495" spans="11:11" ht="15" customHeight="1" x14ac:dyDescent="0.25">
      <c r="K1495"/>
    </row>
    <row r="1496" spans="11:11" ht="15" customHeight="1" x14ac:dyDescent="0.25">
      <c r="K1496"/>
    </row>
    <row r="1497" spans="11:11" ht="15" customHeight="1" x14ac:dyDescent="0.25">
      <c r="K1497"/>
    </row>
    <row r="1498" spans="11:11" ht="15" customHeight="1" x14ac:dyDescent="0.25">
      <c r="K1498"/>
    </row>
    <row r="1499" spans="11:11" ht="15" customHeight="1" x14ac:dyDescent="0.25">
      <c r="K1499"/>
    </row>
    <row r="1500" spans="11:11" ht="15" customHeight="1" x14ac:dyDescent="0.25">
      <c r="K1500"/>
    </row>
    <row r="1501" spans="11:11" ht="15" customHeight="1" x14ac:dyDescent="0.25">
      <c r="K1501"/>
    </row>
    <row r="1502" spans="11:11" ht="15" customHeight="1" x14ac:dyDescent="0.25">
      <c r="K1502"/>
    </row>
    <row r="1503" spans="11:11" ht="15" customHeight="1" x14ac:dyDescent="0.25">
      <c r="K1503"/>
    </row>
    <row r="1504" spans="11:11" ht="15" customHeight="1" x14ac:dyDescent="0.25">
      <c r="K1504"/>
    </row>
    <row r="1505" spans="11:11" ht="15" customHeight="1" x14ac:dyDescent="0.25">
      <c r="K1505"/>
    </row>
    <row r="1506" spans="11:11" ht="15" customHeight="1" x14ac:dyDescent="0.25">
      <c r="K1506"/>
    </row>
    <row r="1507" spans="11:11" ht="15" customHeight="1" x14ac:dyDescent="0.25">
      <c r="K1507"/>
    </row>
    <row r="1508" spans="11:11" ht="15" customHeight="1" x14ac:dyDescent="0.25">
      <c r="K1508"/>
    </row>
    <row r="1509" spans="11:11" ht="15" customHeight="1" x14ac:dyDescent="0.25">
      <c r="K1509"/>
    </row>
    <row r="1510" spans="11:11" ht="15" customHeight="1" x14ac:dyDescent="0.25">
      <c r="K1510"/>
    </row>
    <row r="1511" spans="11:11" ht="15" customHeight="1" x14ac:dyDescent="0.25">
      <c r="K1511"/>
    </row>
    <row r="1512" spans="11:11" ht="15" customHeight="1" x14ac:dyDescent="0.25">
      <c r="K1512"/>
    </row>
    <row r="1513" spans="11:11" ht="15" customHeight="1" x14ac:dyDescent="0.25">
      <c r="K1513"/>
    </row>
    <row r="1514" spans="11:11" ht="15" customHeight="1" x14ac:dyDescent="0.25">
      <c r="K1514"/>
    </row>
    <row r="1515" spans="11:11" ht="15" customHeight="1" x14ac:dyDescent="0.25">
      <c r="K1515"/>
    </row>
    <row r="1516" spans="11:11" ht="15" customHeight="1" x14ac:dyDescent="0.25">
      <c r="K1516"/>
    </row>
    <row r="1517" spans="11:11" ht="15" customHeight="1" x14ac:dyDescent="0.25">
      <c r="K1517"/>
    </row>
    <row r="1518" spans="11:11" ht="15" customHeight="1" x14ac:dyDescent="0.25">
      <c r="K1518"/>
    </row>
    <row r="1519" spans="11:11" ht="15" customHeight="1" x14ac:dyDescent="0.25">
      <c r="K1519"/>
    </row>
    <row r="1520" spans="11:11" ht="15" customHeight="1" x14ac:dyDescent="0.25">
      <c r="K1520"/>
    </row>
    <row r="1521" spans="11:11" ht="15" customHeight="1" x14ac:dyDescent="0.25">
      <c r="K1521"/>
    </row>
    <row r="1522" spans="11:11" ht="15" customHeight="1" x14ac:dyDescent="0.25">
      <c r="K1522"/>
    </row>
    <row r="1523" spans="11:11" ht="15" customHeight="1" x14ac:dyDescent="0.25">
      <c r="K1523"/>
    </row>
    <row r="1524" spans="11:11" ht="15" customHeight="1" x14ac:dyDescent="0.25">
      <c r="K1524"/>
    </row>
    <row r="1525" spans="11:11" ht="15" customHeight="1" x14ac:dyDescent="0.25">
      <c r="K1525"/>
    </row>
    <row r="1526" spans="11:11" ht="15" customHeight="1" x14ac:dyDescent="0.25">
      <c r="K1526"/>
    </row>
    <row r="1527" spans="11:11" ht="15" customHeight="1" x14ac:dyDescent="0.25">
      <c r="K1527"/>
    </row>
    <row r="1528" spans="11:11" ht="15" customHeight="1" x14ac:dyDescent="0.25">
      <c r="K1528"/>
    </row>
    <row r="1529" spans="11:11" ht="15" customHeight="1" x14ac:dyDescent="0.25">
      <c r="K1529"/>
    </row>
    <row r="1530" spans="11:11" ht="15" customHeight="1" x14ac:dyDescent="0.25">
      <c r="K1530"/>
    </row>
    <row r="1531" spans="11:11" ht="15" customHeight="1" x14ac:dyDescent="0.25">
      <c r="K1531"/>
    </row>
    <row r="1532" spans="11:11" ht="15" customHeight="1" x14ac:dyDescent="0.25">
      <c r="K1532"/>
    </row>
    <row r="1533" spans="11:11" ht="15" customHeight="1" x14ac:dyDescent="0.25">
      <c r="K1533"/>
    </row>
    <row r="1534" spans="11:11" ht="15" customHeight="1" x14ac:dyDescent="0.25">
      <c r="K1534"/>
    </row>
    <row r="1535" spans="11:11" ht="15" customHeight="1" x14ac:dyDescent="0.25">
      <c r="K1535"/>
    </row>
    <row r="1536" spans="11:11" ht="15" customHeight="1" x14ac:dyDescent="0.25">
      <c r="K1536"/>
    </row>
    <row r="1537" spans="11:11" ht="15" customHeight="1" x14ac:dyDescent="0.25">
      <c r="K1537"/>
    </row>
    <row r="1538" spans="11:11" ht="15" customHeight="1" x14ac:dyDescent="0.25">
      <c r="K1538"/>
    </row>
    <row r="1539" spans="11:11" ht="15" customHeight="1" x14ac:dyDescent="0.25">
      <c r="K1539"/>
    </row>
    <row r="1540" spans="11:11" ht="15" customHeight="1" x14ac:dyDescent="0.25">
      <c r="K1540"/>
    </row>
    <row r="1541" spans="11:11" ht="15" customHeight="1" x14ac:dyDescent="0.25">
      <c r="K1541"/>
    </row>
    <row r="1542" spans="11:11" ht="15" customHeight="1" x14ac:dyDescent="0.25">
      <c r="K1542"/>
    </row>
    <row r="1543" spans="11:11" ht="15" customHeight="1" x14ac:dyDescent="0.25">
      <c r="K1543"/>
    </row>
    <row r="1544" spans="11:11" ht="15" customHeight="1" x14ac:dyDescent="0.25">
      <c r="K1544"/>
    </row>
    <row r="1545" spans="11:11" ht="15" customHeight="1" x14ac:dyDescent="0.25">
      <c r="K1545"/>
    </row>
    <row r="1546" spans="11:11" ht="15" customHeight="1" x14ac:dyDescent="0.25">
      <c r="K1546"/>
    </row>
    <row r="1547" spans="11:11" ht="15" customHeight="1" x14ac:dyDescent="0.25">
      <c r="K1547"/>
    </row>
    <row r="1548" spans="11:11" ht="15" customHeight="1" x14ac:dyDescent="0.25">
      <c r="K1548"/>
    </row>
    <row r="1549" spans="11:11" ht="15" customHeight="1" x14ac:dyDescent="0.25">
      <c r="K1549"/>
    </row>
    <row r="1550" spans="11:11" ht="15" customHeight="1" x14ac:dyDescent="0.25">
      <c r="K1550"/>
    </row>
    <row r="1551" spans="11:11" ht="15" customHeight="1" x14ac:dyDescent="0.25">
      <c r="K1551"/>
    </row>
    <row r="1552" spans="11:11" ht="15" customHeight="1" x14ac:dyDescent="0.25">
      <c r="K1552"/>
    </row>
    <row r="1553" spans="11:11" ht="15" customHeight="1" x14ac:dyDescent="0.25">
      <c r="K1553"/>
    </row>
    <row r="1554" spans="11:11" ht="15" customHeight="1" x14ac:dyDescent="0.25">
      <c r="K1554"/>
    </row>
    <row r="1555" spans="11:11" ht="15" customHeight="1" x14ac:dyDescent="0.25">
      <c r="K1555"/>
    </row>
    <row r="1556" spans="11:11" ht="15" customHeight="1" x14ac:dyDescent="0.25">
      <c r="K1556"/>
    </row>
    <row r="1557" spans="11:11" ht="15" customHeight="1" x14ac:dyDescent="0.25">
      <c r="K1557"/>
    </row>
    <row r="1558" spans="11:11" ht="15" customHeight="1" x14ac:dyDescent="0.25">
      <c r="K1558"/>
    </row>
    <row r="1559" spans="11:11" ht="15" customHeight="1" x14ac:dyDescent="0.25">
      <c r="K1559"/>
    </row>
    <row r="1560" spans="11:11" ht="15" customHeight="1" x14ac:dyDescent="0.25">
      <c r="K1560"/>
    </row>
    <row r="1561" spans="11:11" ht="15" customHeight="1" x14ac:dyDescent="0.25">
      <c r="K1561"/>
    </row>
    <row r="1562" spans="11:11" ht="15" customHeight="1" x14ac:dyDescent="0.25">
      <c r="K1562"/>
    </row>
    <row r="1563" spans="11:11" ht="15" customHeight="1" x14ac:dyDescent="0.25">
      <c r="K1563"/>
    </row>
    <row r="1564" spans="11:11" ht="15" customHeight="1" x14ac:dyDescent="0.25">
      <c r="K1564"/>
    </row>
    <row r="1565" spans="11:11" ht="15" customHeight="1" x14ac:dyDescent="0.25">
      <c r="K1565"/>
    </row>
    <row r="1566" spans="11:11" ht="15" customHeight="1" x14ac:dyDescent="0.25">
      <c r="K1566"/>
    </row>
    <row r="1567" spans="11:11" ht="15" customHeight="1" x14ac:dyDescent="0.25">
      <c r="K1567"/>
    </row>
    <row r="1568" spans="11:11" ht="15" customHeight="1" x14ac:dyDescent="0.25">
      <c r="K1568"/>
    </row>
    <row r="1569" spans="11:11" ht="15" customHeight="1" x14ac:dyDescent="0.25">
      <c r="K1569"/>
    </row>
    <row r="1570" spans="11:11" ht="15" customHeight="1" x14ac:dyDescent="0.25">
      <c r="K1570"/>
    </row>
    <row r="1571" spans="11:11" ht="15" customHeight="1" x14ac:dyDescent="0.25">
      <c r="K1571"/>
    </row>
    <row r="1572" spans="11:11" ht="15" customHeight="1" x14ac:dyDescent="0.25">
      <c r="K1572"/>
    </row>
    <row r="1573" spans="11:11" ht="15" customHeight="1" x14ac:dyDescent="0.25">
      <c r="K1573"/>
    </row>
    <row r="1574" spans="11:11" ht="15" customHeight="1" x14ac:dyDescent="0.25">
      <c r="K1574"/>
    </row>
    <row r="1575" spans="11:11" ht="15" customHeight="1" x14ac:dyDescent="0.25">
      <c r="K1575"/>
    </row>
    <row r="1576" spans="11:11" ht="15" customHeight="1" x14ac:dyDescent="0.25">
      <c r="K1576"/>
    </row>
    <row r="1577" spans="11:11" ht="15" customHeight="1" x14ac:dyDescent="0.25">
      <c r="K1577"/>
    </row>
    <row r="1578" spans="11:11" ht="15" customHeight="1" x14ac:dyDescent="0.25">
      <c r="K1578"/>
    </row>
    <row r="1579" spans="11:11" ht="15" customHeight="1" x14ac:dyDescent="0.25">
      <c r="K1579"/>
    </row>
    <row r="1580" spans="11:11" ht="15" customHeight="1" x14ac:dyDescent="0.25">
      <c r="K1580"/>
    </row>
    <row r="1581" spans="11:11" ht="15" customHeight="1" x14ac:dyDescent="0.25">
      <c r="K1581"/>
    </row>
    <row r="1582" spans="11:11" ht="15" customHeight="1" x14ac:dyDescent="0.25">
      <c r="K1582"/>
    </row>
    <row r="1583" spans="11:11" ht="15" customHeight="1" x14ac:dyDescent="0.25">
      <c r="K1583"/>
    </row>
    <row r="1584" spans="11:11" ht="15" customHeight="1" x14ac:dyDescent="0.25">
      <c r="K1584"/>
    </row>
    <row r="1585" spans="11:11" ht="15" customHeight="1" x14ac:dyDescent="0.25">
      <c r="K1585"/>
    </row>
    <row r="1586" spans="11:11" ht="15" customHeight="1" x14ac:dyDescent="0.25">
      <c r="K1586"/>
    </row>
    <row r="1587" spans="11:11" ht="15" customHeight="1" x14ac:dyDescent="0.25">
      <c r="K1587"/>
    </row>
    <row r="1588" spans="11:11" ht="15" customHeight="1" x14ac:dyDescent="0.25">
      <c r="K1588"/>
    </row>
    <row r="1589" spans="11:11" ht="15" customHeight="1" x14ac:dyDescent="0.25">
      <c r="K1589"/>
    </row>
    <row r="1590" spans="11:11" ht="15" customHeight="1" x14ac:dyDescent="0.25">
      <c r="K1590"/>
    </row>
    <row r="1591" spans="11:11" ht="15" customHeight="1" x14ac:dyDescent="0.25">
      <c r="K1591"/>
    </row>
    <row r="1592" spans="11:11" ht="15" customHeight="1" x14ac:dyDescent="0.25">
      <c r="K1592"/>
    </row>
    <row r="1593" spans="11:11" ht="15" customHeight="1" x14ac:dyDescent="0.25">
      <c r="K1593"/>
    </row>
    <row r="1594" spans="11:11" ht="15" customHeight="1" x14ac:dyDescent="0.25">
      <c r="K1594"/>
    </row>
    <row r="1595" spans="11:11" ht="15" customHeight="1" x14ac:dyDescent="0.25">
      <c r="K1595"/>
    </row>
    <row r="1596" spans="11:11" ht="15" customHeight="1" x14ac:dyDescent="0.25">
      <c r="K1596"/>
    </row>
    <row r="1597" spans="11:11" ht="15" customHeight="1" x14ac:dyDescent="0.25">
      <c r="K1597"/>
    </row>
    <row r="1598" spans="11:11" ht="15" customHeight="1" x14ac:dyDescent="0.25">
      <c r="K1598"/>
    </row>
    <row r="1599" spans="11:11" ht="15" customHeight="1" x14ac:dyDescent="0.25">
      <c r="K1599"/>
    </row>
    <row r="1600" spans="11:11" ht="15" customHeight="1" x14ac:dyDescent="0.25">
      <c r="K1600"/>
    </row>
    <row r="1601" spans="11:11" ht="15" customHeight="1" x14ac:dyDescent="0.25">
      <c r="K1601"/>
    </row>
    <row r="1602" spans="11:11" ht="15" customHeight="1" x14ac:dyDescent="0.25">
      <c r="K1602"/>
    </row>
    <row r="1603" spans="11:11" ht="15" customHeight="1" x14ac:dyDescent="0.25">
      <c r="K1603"/>
    </row>
    <row r="1604" spans="11:11" ht="15" customHeight="1" x14ac:dyDescent="0.25">
      <c r="K1604"/>
    </row>
    <row r="1605" spans="11:11" ht="15" customHeight="1" x14ac:dyDescent="0.25">
      <c r="K1605"/>
    </row>
    <row r="1606" spans="11:11" ht="15" customHeight="1" x14ac:dyDescent="0.25">
      <c r="K1606"/>
    </row>
    <row r="1607" spans="11:11" ht="15" customHeight="1" x14ac:dyDescent="0.25">
      <c r="K1607"/>
    </row>
    <row r="1608" spans="11:11" ht="15" customHeight="1" x14ac:dyDescent="0.25">
      <c r="K1608"/>
    </row>
    <row r="1609" spans="11:11" ht="15" customHeight="1" x14ac:dyDescent="0.25">
      <c r="K1609"/>
    </row>
    <row r="1610" spans="11:11" ht="15" customHeight="1" x14ac:dyDescent="0.25">
      <c r="K1610"/>
    </row>
    <row r="1611" spans="11:11" ht="15" customHeight="1" x14ac:dyDescent="0.25">
      <c r="K1611"/>
    </row>
    <row r="1612" spans="11:11" ht="15" customHeight="1" x14ac:dyDescent="0.25">
      <c r="K1612"/>
    </row>
    <row r="1613" spans="11:11" ht="15" customHeight="1" x14ac:dyDescent="0.25">
      <c r="K1613"/>
    </row>
    <row r="1614" spans="11:11" ht="15" customHeight="1" x14ac:dyDescent="0.25">
      <c r="K1614"/>
    </row>
    <row r="1615" spans="11:11" ht="15" customHeight="1" x14ac:dyDescent="0.25">
      <c r="K1615"/>
    </row>
    <row r="1616" spans="11:11" ht="15" customHeight="1" x14ac:dyDescent="0.25">
      <c r="K1616"/>
    </row>
    <row r="1617" spans="11:11" ht="15" customHeight="1" x14ac:dyDescent="0.25">
      <c r="K1617"/>
    </row>
    <row r="1618" spans="11:11" ht="15" customHeight="1" x14ac:dyDescent="0.25">
      <c r="K1618"/>
    </row>
    <row r="1619" spans="11:11" ht="15" customHeight="1" x14ac:dyDescent="0.25">
      <c r="K1619"/>
    </row>
    <row r="1620" spans="11:11" ht="15" customHeight="1" x14ac:dyDescent="0.25">
      <c r="K1620"/>
    </row>
    <row r="1621" spans="11:11" ht="15" customHeight="1" x14ac:dyDescent="0.25">
      <c r="K1621"/>
    </row>
    <row r="1622" spans="11:11" ht="15" customHeight="1" x14ac:dyDescent="0.25">
      <c r="K1622"/>
    </row>
    <row r="1623" spans="11:11" ht="15" customHeight="1" x14ac:dyDescent="0.25">
      <c r="K1623"/>
    </row>
    <row r="1624" spans="11:11" ht="15" customHeight="1" x14ac:dyDescent="0.25">
      <c r="K1624"/>
    </row>
    <row r="1625" spans="11:11" ht="15" customHeight="1" x14ac:dyDescent="0.25">
      <c r="K1625"/>
    </row>
    <row r="1626" spans="11:11" ht="15" customHeight="1" x14ac:dyDescent="0.25">
      <c r="K1626"/>
    </row>
    <row r="1627" spans="11:11" ht="15" customHeight="1" x14ac:dyDescent="0.25">
      <c r="K1627"/>
    </row>
    <row r="1628" spans="11:11" ht="15" customHeight="1" x14ac:dyDescent="0.25">
      <c r="K1628"/>
    </row>
    <row r="1629" spans="11:11" ht="15" customHeight="1" x14ac:dyDescent="0.25">
      <c r="K1629"/>
    </row>
    <row r="1630" spans="11:11" ht="15" customHeight="1" x14ac:dyDescent="0.25">
      <c r="K1630"/>
    </row>
    <row r="1631" spans="11:11" ht="15" customHeight="1" x14ac:dyDescent="0.25">
      <c r="K1631"/>
    </row>
    <row r="1632" spans="11:11" ht="15" customHeight="1" x14ac:dyDescent="0.25">
      <c r="K1632"/>
    </row>
    <row r="1633" spans="11:11" ht="15" customHeight="1" x14ac:dyDescent="0.25">
      <c r="K1633"/>
    </row>
    <row r="1634" spans="11:11" ht="15" customHeight="1" x14ac:dyDescent="0.25">
      <c r="K1634"/>
    </row>
    <row r="1635" spans="11:11" ht="15" customHeight="1" x14ac:dyDescent="0.25">
      <c r="K1635"/>
    </row>
    <row r="1636" spans="11:11" ht="15" customHeight="1" x14ac:dyDescent="0.25">
      <c r="K1636"/>
    </row>
    <row r="1637" spans="11:11" ht="15" customHeight="1" x14ac:dyDescent="0.25">
      <c r="K1637"/>
    </row>
    <row r="1638" spans="11:11" ht="15" customHeight="1" x14ac:dyDescent="0.25">
      <c r="K1638"/>
    </row>
    <row r="1639" spans="11:11" ht="15" customHeight="1" x14ac:dyDescent="0.25">
      <c r="K1639"/>
    </row>
    <row r="1640" spans="11:11" ht="15" customHeight="1" x14ac:dyDescent="0.25">
      <c r="K1640"/>
    </row>
    <row r="1641" spans="11:11" ht="15" customHeight="1" x14ac:dyDescent="0.25">
      <c r="K1641"/>
    </row>
    <row r="1642" spans="11:11" ht="15" customHeight="1" x14ac:dyDescent="0.25">
      <c r="K1642"/>
    </row>
    <row r="1643" spans="11:11" ht="15" customHeight="1" x14ac:dyDescent="0.25">
      <c r="K1643"/>
    </row>
    <row r="1644" spans="11:11" ht="15" customHeight="1" x14ac:dyDescent="0.25">
      <c r="K1644"/>
    </row>
    <row r="1645" spans="11:11" ht="15" customHeight="1" x14ac:dyDescent="0.25">
      <c r="K1645"/>
    </row>
    <row r="1646" spans="11:11" ht="15" customHeight="1" x14ac:dyDescent="0.25">
      <c r="K1646"/>
    </row>
    <row r="1647" spans="11:11" ht="15" customHeight="1" x14ac:dyDescent="0.25">
      <c r="K1647"/>
    </row>
    <row r="1648" spans="11:11" ht="15" customHeight="1" x14ac:dyDescent="0.25">
      <c r="K1648"/>
    </row>
    <row r="1649" spans="11:11" ht="15" customHeight="1" x14ac:dyDescent="0.25">
      <c r="K1649"/>
    </row>
    <row r="1650" spans="11:11" ht="15" customHeight="1" x14ac:dyDescent="0.25">
      <c r="K1650"/>
    </row>
    <row r="1651" spans="11:11" ht="15" customHeight="1" x14ac:dyDescent="0.25">
      <c r="K1651"/>
    </row>
    <row r="1652" spans="11:11" ht="15" customHeight="1" x14ac:dyDescent="0.25">
      <c r="K1652"/>
    </row>
    <row r="1653" spans="11:11" ht="15" customHeight="1" x14ac:dyDescent="0.25">
      <c r="K1653"/>
    </row>
    <row r="1654" spans="11:11" ht="15" customHeight="1" x14ac:dyDescent="0.25">
      <c r="K1654"/>
    </row>
    <row r="1655" spans="11:11" ht="15" customHeight="1" x14ac:dyDescent="0.25">
      <c r="K1655"/>
    </row>
    <row r="1656" spans="11:11" ht="15" customHeight="1" x14ac:dyDescent="0.25">
      <c r="K1656"/>
    </row>
    <row r="1657" spans="11:11" ht="15" customHeight="1" x14ac:dyDescent="0.25">
      <c r="K1657"/>
    </row>
    <row r="1658" spans="11:11" ht="15" customHeight="1" x14ac:dyDescent="0.25">
      <c r="K1658"/>
    </row>
    <row r="1659" spans="11:11" ht="15" customHeight="1" x14ac:dyDescent="0.25">
      <c r="K1659"/>
    </row>
    <row r="1660" spans="11:11" ht="15" customHeight="1" x14ac:dyDescent="0.25">
      <c r="K1660"/>
    </row>
    <row r="1661" spans="11:11" ht="15" customHeight="1" x14ac:dyDescent="0.25">
      <c r="K1661"/>
    </row>
    <row r="1662" spans="11:11" ht="15" customHeight="1" x14ac:dyDescent="0.25">
      <c r="K1662"/>
    </row>
    <row r="1663" spans="11:11" ht="15" customHeight="1" x14ac:dyDescent="0.25">
      <c r="K1663"/>
    </row>
    <row r="1664" spans="11:11" ht="15" customHeight="1" x14ac:dyDescent="0.25">
      <c r="K1664"/>
    </row>
    <row r="1665" spans="11:11" ht="15" customHeight="1" x14ac:dyDescent="0.25">
      <c r="K1665"/>
    </row>
    <row r="1666" spans="11:11" ht="15" customHeight="1" x14ac:dyDescent="0.25">
      <c r="K1666"/>
    </row>
    <row r="1667" spans="11:11" ht="15" customHeight="1" x14ac:dyDescent="0.25">
      <c r="K1667"/>
    </row>
    <row r="1668" spans="11:11" ht="15" customHeight="1" x14ac:dyDescent="0.25">
      <c r="K1668"/>
    </row>
    <row r="1669" spans="11:11" ht="15" customHeight="1" x14ac:dyDescent="0.25">
      <c r="K1669"/>
    </row>
    <row r="1670" spans="11:11" ht="15" customHeight="1" x14ac:dyDescent="0.25">
      <c r="K1670"/>
    </row>
    <row r="1671" spans="11:11" ht="15" customHeight="1" x14ac:dyDescent="0.25">
      <c r="K1671"/>
    </row>
    <row r="1672" spans="11:11" ht="15" customHeight="1" x14ac:dyDescent="0.25">
      <c r="K1672"/>
    </row>
    <row r="1673" spans="11:11" ht="15" customHeight="1" x14ac:dyDescent="0.25">
      <c r="K1673"/>
    </row>
    <row r="1674" spans="11:11" ht="15" customHeight="1" x14ac:dyDescent="0.25">
      <c r="K1674"/>
    </row>
    <row r="1675" spans="11:11" ht="15" customHeight="1" x14ac:dyDescent="0.25">
      <c r="K1675"/>
    </row>
    <row r="1676" spans="11:11" ht="15" customHeight="1" x14ac:dyDescent="0.25">
      <c r="K1676"/>
    </row>
    <row r="1677" spans="11:11" ht="15" customHeight="1" x14ac:dyDescent="0.25">
      <c r="K1677"/>
    </row>
    <row r="1678" spans="11:11" ht="15" customHeight="1" x14ac:dyDescent="0.25">
      <c r="K1678"/>
    </row>
    <row r="1679" spans="11:11" ht="15" customHeight="1" x14ac:dyDescent="0.25">
      <c r="K1679"/>
    </row>
    <row r="1680" spans="11:11" ht="15" customHeight="1" x14ac:dyDescent="0.25">
      <c r="K1680"/>
    </row>
    <row r="1681" spans="11:11" ht="15" customHeight="1" x14ac:dyDescent="0.25">
      <c r="K1681"/>
    </row>
    <row r="1682" spans="11:11" ht="15" customHeight="1" x14ac:dyDescent="0.25">
      <c r="K1682"/>
    </row>
    <row r="1683" spans="11:11" ht="15" customHeight="1" x14ac:dyDescent="0.25">
      <c r="K1683"/>
    </row>
    <row r="1684" spans="11:11" ht="15" customHeight="1" x14ac:dyDescent="0.25">
      <c r="K1684"/>
    </row>
    <row r="1685" spans="11:11" ht="15" customHeight="1" x14ac:dyDescent="0.25">
      <c r="K1685"/>
    </row>
    <row r="1686" spans="11:11" ht="15" customHeight="1" x14ac:dyDescent="0.25">
      <c r="K1686"/>
    </row>
    <row r="1687" spans="11:11" ht="15" customHeight="1" x14ac:dyDescent="0.25">
      <c r="K1687"/>
    </row>
    <row r="1688" spans="11:11" ht="15" customHeight="1" x14ac:dyDescent="0.25">
      <c r="K1688"/>
    </row>
    <row r="1689" spans="11:11" ht="15" customHeight="1" x14ac:dyDescent="0.25">
      <c r="K1689"/>
    </row>
    <row r="1690" spans="11:11" ht="15" customHeight="1" x14ac:dyDescent="0.25">
      <c r="K1690"/>
    </row>
    <row r="1691" spans="11:11" ht="15" customHeight="1" x14ac:dyDescent="0.25">
      <c r="K1691"/>
    </row>
    <row r="1692" spans="11:11" ht="15" customHeight="1" x14ac:dyDescent="0.25">
      <c r="K1692"/>
    </row>
    <row r="1693" spans="11:11" ht="15" customHeight="1" x14ac:dyDescent="0.25">
      <c r="K1693"/>
    </row>
    <row r="1694" spans="11:11" ht="15" customHeight="1" x14ac:dyDescent="0.25">
      <c r="K1694"/>
    </row>
    <row r="1695" spans="11:11" ht="15" customHeight="1" x14ac:dyDescent="0.25">
      <c r="K1695"/>
    </row>
    <row r="1696" spans="11:11" ht="15" customHeight="1" x14ac:dyDescent="0.25">
      <c r="K1696"/>
    </row>
    <row r="1697" spans="11:11" ht="15" customHeight="1" x14ac:dyDescent="0.25">
      <c r="K1697"/>
    </row>
    <row r="1698" spans="11:11" ht="15" customHeight="1" x14ac:dyDescent="0.25">
      <c r="K1698"/>
    </row>
    <row r="1699" spans="11:11" ht="15" customHeight="1" x14ac:dyDescent="0.25">
      <c r="K1699"/>
    </row>
    <row r="1700" spans="11:11" ht="15" customHeight="1" x14ac:dyDescent="0.25">
      <c r="K1700"/>
    </row>
    <row r="1701" spans="11:11" ht="15" customHeight="1" x14ac:dyDescent="0.25">
      <c r="K1701"/>
    </row>
    <row r="1702" spans="11:11" ht="15" customHeight="1" x14ac:dyDescent="0.25">
      <c r="K1702"/>
    </row>
    <row r="1703" spans="11:11" ht="15" customHeight="1" x14ac:dyDescent="0.25">
      <c r="K1703"/>
    </row>
    <row r="1704" spans="11:11" ht="15" customHeight="1" x14ac:dyDescent="0.25">
      <c r="K1704"/>
    </row>
    <row r="1705" spans="11:11" ht="15" customHeight="1" x14ac:dyDescent="0.25">
      <c r="K1705"/>
    </row>
    <row r="1706" spans="11:11" ht="15" customHeight="1" x14ac:dyDescent="0.25">
      <c r="K1706"/>
    </row>
    <row r="1707" spans="11:11" ht="15" customHeight="1" x14ac:dyDescent="0.25">
      <c r="K1707"/>
    </row>
    <row r="1708" spans="11:11" ht="15" customHeight="1" x14ac:dyDescent="0.25">
      <c r="K1708"/>
    </row>
    <row r="1709" spans="11:11" ht="15" customHeight="1" x14ac:dyDescent="0.25">
      <c r="K1709"/>
    </row>
    <row r="1710" spans="11:11" ht="15" customHeight="1" x14ac:dyDescent="0.25">
      <c r="K1710"/>
    </row>
    <row r="1711" spans="11:11" ht="15" customHeight="1" x14ac:dyDescent="0.25">
      <c r="K1711"/>
    </row>
    <row r="1712" spans="11:11" ht="15" customHeight="1" x14ac:dyDescent="0.25">
      <c r="K1712"/>
    </row>
    <row r="1713" spans="11:11" ht="15" customHeight="1" x14ac:dyDescent="0.25">
      <c r="K1713"/>
    </row>
    <row r="1714" spans="11:11" ht="15" customHeight="1" x14ac:dyDescent="0.25">
      <c r="K1714"/>
    </row>
    <row r="1715" spans="11:11" ht="15" customHeight="1" x14ac:dyDescent="0.25">
      <c r="K1715"/>
    </row>
    <row r="1716" spans="11:11" ht="15" customHeight="1" x14ac:dyDescent="0.25">
      <c r="K1716"/>
    </row>
    <row r="1717" spans="11:11" ht="15" customHeight="1" x14ac:dyDescent="0.25">
      <c r="K1717"/>
    </row>
    <row r="1718" spans="11:11" ht="15" customHeight="1" x14ac:dyDescent="0.25">
      <c r="K1718"/>
    </row>
    <row r="1719" spans="11:11" ht="15" customHeight="1" x14ac:dyDescent="0.25">
      <c r="K1719"/>
    </row>
    <row r="1720" spans="11:11" ht="15" customHeight="1" x14ac:dyDescent="0.25">
      <c r="K1720"/>
    </row>
    <row r="1721" spans="11:11" ht="15" customHeight="1" x14ac:dyDescent="0.25">
      <c r="K1721"/>
    </row>
    <row r="1722" spans="11:11" ht="15" customHeight="1" x14ac:dyDescent="0.25">
      <c r="K1722"/>
    </row>
    <row r="1723" spans="11:11" ht="15" customHeight="1" x14ac:dyDescent="0.25">
      <c r="K1723"/>
    </row>
    <row r="1724" spans="11:11" ht="15" customHeight="1" x14ac:dyDescent="0.25">
      <c r="K1724"/>
    </row>
    <row r="1725" spans="11:11" ht="15" customHeight="1" x14ac:dyDescent="0.25">
      <c r="K1725"/>
    </row>
    <row r="1726" spans="11:11" ht="15" customHeight="1" x14ac:dyDescent="0.25">
      <c r="K1726"/>
    </row>
    <row r="1727" spans="11:11" ht="15" customHeight="1" x14ac:dyDescent="0.25">
      <c r="K1727"/>
    </row>
    <row r="1728" spans="11:11" ht="15" customHeight="1" x14ac:dyDescent="0.25">
      <c r="K1728"/>
    </row>
    <row r="1729" spans="11:11" ht="15" customHeight="1" x14ac:dyDescent="0.25">
      <c r="K1729"/>
    </row>
    <row r="1730" spans="11:11" ht="15" customHeight="1" x14ac:dyDescent="0.25">
      <c r="K1730"/>
    </row>
    <row r="1731" spans="11:11" ht="15" customHeight="1" x14ac:dyDescent="0.25">
      <c r="K1731"/>
    </row>
    <row r="1732" spans="11:11" ht="15" customHeight="1" x14ac:dyDescent="0.25">
      <c r="K1732"/>
    </row>
    <row r="1733" spans="11:11" ht="15" customHeight="1" x14ac:dyDescent="0.25">
      <c r="K1733"/>
    </row>
    <row r="1734" spans="11:11" ht="15" customHeight="1" x14ac:dyDescent="0.25">
      <c r="K1734"/>
    </row>
    <row r="1735" spans="11:11" ht="15" customHeight="1" x14ac:dyDescent="0.25">
      <c r="K1735"/>
    </row>
    <row r="1736" spans="11:11" ht="15" customHeight="1" x14ac:dyDescent="0.25">
      <c r="K1736"/>
    </row>
    <row r="1737" spans="11:11" ht="15" customHeight="1" x14ac:dyDescent="0.25">
      <c r="K1737"/>
    </row>
    <row r="1738" spans="11:11" ht="15" customHeight="1" x14ac:dyDescent="0.25">
      <c r="K1738"/>
    </row>
    <row r="1739" spans="11:11" ht="15" customHeight="1" x14ac:dyDescent="0.25">
      <c r="K1739"/>
    </row>
    <row r="1740" spans="11:11" ht="15" customHeight="1" x14ac:dyDescent="0.25">
      <c r="K1740"/>
    </row>
    <row r="1741" spans="11:11" ht="15" customHeight="1" x14ac:dyDescent="0.25">
      <c r="K1741"/>
    </row>
    <row r="1742" spans="11:11" ht="15" customHeight="1" x14ac:dyDescent="0.25">
      <c r="K1742"/>
    </row>
    <row r="1743" spans="11:11" ht="15" customHeight="1" x14ac:dyDescent="0.25">
      <c r="K1743"/>
    </row>
    <row r="1744" spans="11:11" ht="15" customHeight="1" x14ac:dyDescent="0.25">
      <c r="K1744"/>
    </row>
    <row r="1745" spans="11:11" ht="15" customHeight="1" x14ac:dyDescent="0.25">
      <c r="K1745"/>
    </row>
    <row r="1746" spans="11:11" ht="15" customHeight="1" x14ac:dyDescent="0.25">
      <c r="K1746"/>
    </row>
    <row r="1747" spans="11:11" ht="15" customHeight="1" x14ac:dyDescent="0.25">
      <c r="K1747"/>
    </row>
    <row r="1748" spans="11:11" ht="15" customHeight="1" x14ac:dyDescent="0.25">
      <c r="K1748"/>
    </row>
    <row r="1749" spans="11:11" ht="15" customHeight="1" x14ac:dyDescent="0.25">
      <c r="K1749"/>
    </row>
    <row r="1750" spans="11:11" ht="15" customHeight="1" x14ac:dyDescent="0.25">
      <c r="K1750"/>
    </row>
    <row r="1751" spans="11:11" ht="15" customHeight="1" x14ac:dyDescent="0.25">
      <c r="K1751"/>
    </row>
    <row r="1752" spans="11:11" ht="15" customHeight="1" x14ac:dyDescent="0.25">
      <c r="K1752"/>
    </row>
    <row r="1753" spans="11:11" ht="15" customHeight="1" x14ac:dyDescent="0.25">
      <c r="K1753"/>
    </row>
    <row r="1754" spans="11:11" ht="15" customHeight="1" x14ac:dyDescent="0.25">
      <c r="K1754"/>
    </row>
    <row r="1755" spans="11:11" ht="15" customHeight="1" x14ac:dyDescent="0.25">
      <c r="K1755"/>
    </row>
    <row r="1756" spans="11:11" ht="15" customHeight="1" x14ac:dyDescent="0.25">
      <c r="K1756"/>
    </row>
    <row r="1757" spans="11:11" ht="15" customHeight="1" x14ac:dyDescent="0.25">
      <c r="K1757"/>
    </row>
    <row r="1758" spans="11:11" ht="15" customHeight="1" x14ac:dyDescent="0.25">
      <c r="K1758"/>
    </row>
    <row r="1759" spans="11:11" ht="15" customHeight="1" x14ac:dyDescent="0.25">
      <c r="K1759"/>
    </row>
    <row r="1760" spans="11:11" ht="15" customHeight="1" x14ac:dyDescent="0.25">
      <c r="K1760"/>
    </row>
    <row r="1761" spans="11:11" ht="15" customHeight="1" x14ac:dyDescent="0.25">
      <c r="K1761"/>
    </row>
    <row r="1762" spans="11:11" ht="15" customHeight="1" x14ac:dyDescent="0.25">
      <c r="K1762"/>
    </row>
    <row r="1763" spans="11:11" ht="15" customHeight="1" x14ac:dyDescent="0.25">
      <c r="K1763"/>
    </row>
    <row r="1764" spans="11:11" ht="15" customHeight="1" x14ac:dyDescent="0.25">
      <c r="K1764"/>
    </row>
    <row r="1765" spans="11:11" ht="15" customHeight="1" x14ac:dyDescent="0.25">
      <c r="K1765"/>
    </row>
    <row r="1766" spans="11:11" ht="15" customHeight="1" x14ac:dyDescent="0.25">
      <c r="K1766"/>
    </row>
    <row r="1767" spans="11:11" ht="15" customHeight="1" x14ac:dyDescent="0.25">
      <c r="K1767"/>
    </row>
    <row r="1768" spans="11:11" ht="15" customHeight="1" x14ac:dyDescent="0.25">
      <c r="K1768"/>
    </row>
    <row r="1769" spans="11:11" ht="15" customHeight="1" x14ac:dyDescent="0.25">
      <c r="K1769"/>
    </row>
    <row r="1770" spans="11:11" ht="15" customHeight="1" x14ac:dyDescent="0.25">
      <c r="K1770"/>
    </row>
    <row r="1771" spans="11:11" ht="15" customHeight="1" x14ac:dyDescent="0.25">
      <c r="K1771"/>
    </row>
    <row r="1772" spans="11:11" ht="15" customHeight="1" x14ac:dyDescent="0.25">
      <c r="K1772"/>
    </row>
    <row r="1773" spans="11:11" ht="15" customHeight="1" x14ac:dyDescent="0.25">
      <c r="K1773"/>
    </row>
    <row r="1774" spans="11:11" ht="15" customHeight="1" x14ac:dyDescent="0.25">
      <c r="K1774"/>
    </row>
    <row r="1775" spans="11:11" ht="15" customHeight="1" x14ac:dyDescent="0.25">
      <c r="K1775"/>
    </row>
    <row r="1776" spans="11:11" ht="15" customHeight="1" x14ac:dyDescent="0.25">
      <c r="K1776"/>
    </row>
    <row r="1777" spans="11:11" ht="15" customHeight="1" x14ac:dyDescent="0.25">
      <c r="K1777"/>
    </row>
    <row r="1778" spans="11:11" ht="15" customHeight="1" x14ac:dyDescent="0.25">
      <c r="K1778"/>
    </row>
    <row r="1779" spans="11:11" ht="15" customHeight="1" x14ac:dyDescent="0.25">
      <c r="K1779"/>
    </row>
    <row r="1780" spans="11:11" ht="15" customHeight="1" x14ac:dyDescent="0.25">
      <c r="K1780"/>
    </row>
    <row r="1781" spans="11:11" ht="15" customHeight="1" x14ac:dyDescent="0.25">
      <c r="K1781"/>
    </row>
    <row r="1782" spans="11:11" ht="15" customHeight="1" x14ac:dyDescent="0.25">
      <c r="K1782"/>
    </row>
    <row r="1783" spans="11:11" ht="15" customHeight="1" x14ac:dyDescent="0.25">
      <c r="K1783"/>
    </row>
    <row r="1784" spans="11:11" ht="15" customHeight="1" x14ac:dyDescent="0.25">
      <c r="K1784"/>
    </row>
    <row r="1785" spans="11:11" ht="15" customHeight="1" x14ac:dyDescent="0.25">
      <c r="K1785"/>
    </row>
    <row r="1786" spans="11:11" ht="15" customHeight="1" x14ac:dyDescent="0.25">
      <c r="K1786"/>
    </row>
    <row r="1787" spans="11:11" ht="15" customHeight="1" x14ac:dyDescent="0.25">
      <c r="K1787"/>
    </row>
    <row r="1788" spans="11:11" ht="15" customHeight="1" x14ac:dyDescent="0.25">
      <c r="K1788"/>
    </row>
    <row r="1789" spans="11:11" ht="15" customHeight="1" x14ac:dyDescent="0.25">
      <c r="K1789"/>
    </row>
    <row r="1790" spans="11:11" ht="15" customHeight="1" x14ac:dyDescent="0.25">
      <c r="K1790"/>
    </row>
    <row r="1791" spans="11:11" ht="15" customHeight="1" x14ac:dyDescent="0.25">
      <c r="K1791"/>
    </row>
    <row r="1792" spans="11:11" ht="15" customHeight="1" x14ac:dyDescent="0.25">
      <c r="K1792"/>
    </row>
    <row r="1793" spans="11:11" ht="15" customHeight="1" x14ac:dyDescent="0.25">
      <c r="K1793"/>
    </row>
    <row r="1794" spans="11:11" ht="15" customHeight="1" x14ac:dyDescent="0.25">
      <c r="K1794"/>
    </row>
    <row r="1795" spans="11:11" ht="15" customHeight="1" x14ac:dyDescent="0.25">
      <c r="K1795"/>
    </row>
    <row r="1796" spans="11:11" ht="15" customHeight="1" x14ac:dyDescent="0.25">
      <c r="K1796"/>
    </row>
    <row r="1797" spans="11:11" ht="15" customHeight="1" x14ac:dyDescent="0.25">
      <c r="K1797"/>
    </row>
    <row r="1798" spans="11:11" ht="15" customHeight="1" x14ac:dyDescent="0.25">
      <c r="K1798"/>
    </row>
    <row r="1799" spans="11:11" ht="15" customHeight="1" x14ac:dyDescent="0.25">
      <c r="K1799"/>
    </row>
    <row r="1800" spans="11:11" ht="15" customHeight="1" x14ac:dyDescent="0.25">
      <c r="K1800"/>
    </row>
    <row r="1801" spans="11:11" ht="15" customHeight="1" x14ac:dyDescent="0.25">
      <c r="K1801"/>
    </row>
    <row r="1802" spans="11:11" ht="15" customHeight="1" x14ac:dyDescent="0.25">
      <c r="K1802"/>
    </row>
    <row r="1803" spans="11:11" ht="15" customHeight="1" x14ac:dyDescent="0.25">
      <c r="K1803"/>
    </row>
    <row r="1804" spans="11:11" ht="15" customHeight="1" x14ac:dyDescent="0.25">
      <c r="K1804"/>
    </row>
    <row r="1805" spans="11:11" ht="15" customHeight="1" x14ac:dyDescent="0.25">
      <c r="K1805"/>
    </row>
    <row r="1806" spans="11:11" ht="15" customHeight="1" x14ac:dyDescent="0.25">
      <c r="K1806"/>
    </row>
    <row r="1807" spans="11:11" ht="15" customHeight="1" x14ac:dyDescent="0.25">
      <c r="K1807"/>
    </row>
    <row r="1808" spans="11:11" ht="15" customHeight="1" x14ac:dyDescent="0.25">
      <c r="K1808"/>
    </row>
    <row r="1809" spans="11:11" ht="15" customHeight="1" x14ac:dyDescent="0.25">
      <c r="K1809"/>
    </row>
    <row r="1810" spans="11:11" ht="15" customHeight="1" x14ac:dyDescent="0.25">
      <c r="K1810"/>
    </row>
    <row r="1811" spans="11:11" ht="15" customHeight="1" x14ac:dyDescent="0.25">
      <c r="K1811"/>
    </row>
    <row r="1812" spans="11:11" ht="15" customHeight="1" x14ac:dyDescent="0.25">
      <c r="K1812"/>
    </row>
    <row r="1813" spans="11:11" ht="15" customHeight="1" x14ac:dyDescent="0.25">
      <c r="K1813"/>
    </row>
    <row r="1814" spans="11:11" ht="15" customHeight="1" x14ac:dyDescent="0.25">
      <c r="K1814"/>
    </row>
    <row r="1815" spans="11:11" ht="15" customHeight="1" x14ac:dyDescent="0.25">
      <c r="K1815"/>
    </row>
    <row r="1816" spans="11:11" ht="15" customHeight="1" x14ac:dyDescent="0.25">
      <c r="K1816"/>
    </row>
    <row r="1817" spans="11:11" ht="15" customHeight="1" x14ac:dyDescent="0.25">
      <c r="K1817"/>
    </row>
    <row r="1818" spans="11:11" ht="15" customHeight="1" x14ac:dyDescent="0.25">
      <c r="K1818"/>
    </row>
    <row r="1819" spans="11:11" ht="15" customHeight="1" x14ac:dyDescent="0.25">
      <c r="K1819"/>
    </row>
    <row r="1820" spans="11:11" ht="15" customHeight="1" x14ac:dyDescent="0.25">
      <c r="K1820"/>
    </row>
    <row r="1821" spans="11:11" ht="15" customHeight="1" x14ac:dyDescent="0.25">
      <c r="K1821"/>
    </row>
    <row r="1822" spans="11:11" ht="15" customHeight="1" x14ac:dyDescent="0.25">
      <c r="K1822"/>
    </row>
    <row r="1823" spans="11:11" ht="15" customHeight="1" x14ac:dyDescent="0.25">
      <c r="K1823"/>
    </row>
    <row r="1824" spans="11:11" ht="15" customHeight="1" x14ac:dyDescent="0.25">
      <c r="K1824"/>
    </row>
    <row r="1825" spans="11:11" ht="15" customHeight="1" x14ac:dyDescent="0.25">
      <c r="K1825"/>
    </row>
    <row r="1826" spans="11:11" ht="15" customHeight="1" x14ac:dyDescent="0.25">
      <c r="K1826"/>
    </row>
    <row r="1827" spans="11:11" ht="15" customHeight="1" x14ac:dyDescent="0.25">
      <c r="K1827"/>
    </row>
    <row r="1828" spans="11:11" ht="15" customHeight="1" x14ac:dyDescent="0.25">
      <c r="K1828"/>
    </row>
    <row r="1829" spans="11:11" ht="15" customHeight="1" x14ac:dyDescent="0.25">
      <c r="K1829"/>
    </row>
    <row r="1830" spans="11:11" ht="15" customHeight="1" x14ac:dyDescent="0.25">
      <c r="K1830"/>
    </row>
    <row r="1831" spans="11:11" ht="15" customHeight="1" x14ac:dyDescent="0.25">
      <c r="K1831"/>
    </row>
    <row r="1832" spans="11:11" ht="15" customHeight="1" x14ac:dyDescent="0.25">
      <c r="K1832"/>
    </row>
    <row r="1833" spans="11:11" ht="15" customHeight="1" x14ac:dyDescent="0.25">
      <c r="K1833"/>
    </row>
    <row r="1834" spans="11:11" ht="15" customHeight="1" x14ac:dyDescent="0.25">
      <c r="K1834"/>
    </row>
    <row r="1835" spans="11:11" ht="15" customHeight="1" x14ac:dyDescent="0.25">
      <c r="K1835"/>
    </row>
    <row r="1836" spans="11:11" ht="15" customHeight="1" x14ac:dyDescent="0.25">
      <c r="K1836"/>
    </row>
    <row r="1837" spans="11:11" ht="15" customHeight="1" x14ac:dyDescent="0.25">
      <c r="K1837"/>
    </row>
    <row r="1838" spans="11:11" ht="15" customHeight="1" x14ac:dyDescent="0.25">
      <c r="K1838"/>
    </row>
    <row r="1839" spans="11:11" ht="15" customHeight="1" x14ac:dyDescent="0.25">
      <c r="K1839"/>
    </row>
    <row r="1840" spans="11:11" ht="15" customHeight="1" x14ac:dyDescent="0.25">
      <c r="K1840"/>
    </row>
    <row r="1841" spans="11:11" ht="15" customHeight="1" x14ac:dyDescent="0.25">
      <c r="K1841"/>
    </row>
    <row r="1842" spans="11:11" ht="15" customHeight="1" x14ac:dyDescent="0.25">
      <c r="K1842"/>
    </row>
    <row r="1843" spans="11:11" ht="15" customHeight="1" x14ac:dyDescent="0.25">
      <c r="K1843"/>
    </row>
    <row r="1844" spans="11:11" ht="15" customHeight="1" x14ac:dyDescent="0.25">
      <c r="K1844"/>
    </row>
    <row r="1845" spans="11:11" ht="15" customHeight="1" x14ac:dyDescent="0.25">
      <c r="K1845"/>
    </row>
    <row r="1846" spans="11:11" ht="15" customHeight="1" x14ac:dyDescent="0.25">
      <c r="K1846"/>
    </row>
    <row r="1847" spans="11:11" ht="15" customHeight="1" x14ac:dyDescent="0.25">
      <c r="K1847"/>
    </row>
    <row r="1848" spans="11:11" ht="15" customHeight="1" x14ac:dyDescent="0.25">
      <c r="K1848"/>
    </row>
    <row r="1849" spans="11:11" ht="15" customHeight="1" x14ac:dyDescent="0.25">
      <c r="K1849"/>
    </row>
    <row r="1850" spans="11:11" ht="15" customHeight="1" x14ac:dyDescent="0.25">
      <c r="K1850"/>
    </row>
    <row r="1851" spans="11:11" ht="15" customHeight="1" x14ac:dyDescent="0.25">
      <c r="K1851"/>
    </row>
    <row r="1852" spans="11:11" ht="15" customHeight="1" x14ac:dyDescent="0.25">
      <c r="K1852"/>
    </row>
    <row r="1853" spans="11:11" ht="15" customHeight="1" x14ac:dyDescent="0.25">
      <c r="K1853"/>
    </row>
    <row r="1854" spans="11:11" ht="15" customHeight="1" x14ac:dyDescent="0.25">
      <c r="K1854"/>
    </row>
    <row r="1855" spans="11:11" ht="15" customHeight="1" x14ac:dyDescent="0.25">
      <c r="K1855"/>
    </row>
    <row r="1856" spans="11:11" ht="15" customHeight="1" x14ac:dyDescent="0.25">
      <c r="K1856"/>
    </row>
    <row r="1857" spans="11:11" ht="15" customHeight="1" x14ac:dyDescent="0.25">
      <c r="K1857"/>
    </row>
    <row r="1858" spans="11:11" ht="15" customHeight="1" x14ac:dyDescent="0.25">
      <c r="K1858"/>
    </row>
    <row r="1859" spans="11:11" ht="15" customHeight="1" x14ac:dyDescent="0.25">
      <c r="K1859"/>
    </row>
    <row r="1860" spans="11:11" ht="15" customHeight="1" x14ac:dyDescent="0.25">
      <c r="K1860"/>
    </row>
    <row r="1861" spans="11:11" ht="15" customHeight="1" x14ac:dyDescent="0.25">
      <c r="K1861"/>
    </row>
    <row r="1862" spans="11:11" ht="15" customHeight="1" x14ac:dyDescent="0.25">
      <c r="K1862"/>
    </row>
    <row r="1863" spans="11:11" ht="15" customHeight="1" x14ac:dyDescent="0.25">
      <c r="K1863"/>
    </row>
    <row r="1864" spans="11:11" ht="15" customHeight="1" x14ac:dyDescent="0.25">
      <c r="K1864"/>
    </row>
    <row r="1865" spans="11:11" ht="15" customHeight="1" x14ac:dyDescent="0.25">
      <c r="K1865"/>
    </row>
    <row r="1866" spans="11:11" ht="15" customHeight="1" x14ac:dyDescent="0.25">
      <c r="K1866"/>
    </row>
    <row r="1867" spans="11:11" ht="15" customHeight="1" x14ac:dyDescent="0.25">
      <c r="K1867"/>
    </row>
    <row r="1868" spans="11:11" ht="15" customHeight="1" x14ac:dyDescent="0.25">
      <c r="K1868"/>
    </row>
    <row r="1869" spans="11:11" ht="15" customHeight="1" x14ac:dyDescent="0.25">
      <c r="K1869"/>
    </row>
    <row r="1870" spans="11:11" ht="15" customHeight="1" x14ac:dyDescent="0.25">
      <c r="K1870"/>
    </row>
    <row r="1871" spans="11:11" ht="15" customHeight="1" x14ac:dyDescent="0.25">
      <c r="K1871"/>
    </row>
    <row r="1872" spans="11:11" ht="15" customHeight="1" x14ac:dyDescent="0.25">
      <c r="K1872"/>
    </row>
    <row r="1873" spans="11:11" ht="15" customHeight="1" x14ac:dyDescent="0.25">
      <c r="K1873"/>
    </row>
    <row r="1874" spans="11:11" ht="15" customHeight="1" x14ac:dyDescent="0.25">
      <c r="K1874"/>
    </row>
    <row r="1875" spans="11:11" ht="15" customHeight="1" x14ac:dyDescent="0.25">
      <c r="K1875"/>
    </row>
    <row r="1876" spans="11:11" ht="15" customHeight="1" x14ac:dyDescent="0.25">
      <c r="K1876"/>
    </row>
    <row r="1877" spans="11:11" ht="15" customHeight="1" x14ac:dyDescent="0.25">
      <c r="K1877"/>
    </row>
    <row r="1878" spans="11:11" ht="15" customHeight="1" x14ac:dyDescent="0.25">
      <c r="K1878"/>
    </row>
    <row r="1879" spans="11:11" ht="15" customHeight="1" x14ac:dyDescent="0.25">
      <c r="K1879"/>
    </row>
    <row r="1880" spans="11:11" ht="15" customHeight="1" x14ac:dyDescent="0.25">
      <c r="K1880"/>
    </row>
    <row r="1881" spans="11:11" ht="15" customHeight="1" x14ac:dyDescent="0.25">
      <c r="K1881"/>
    </row>
    <row r="1882" spans="11:11" ht="15" customHeight="1" x14ac:dyDescent="0.25">
      <c r="K1882"/>
    </row>
    <row r="1883" spans="11:11" ht="15" customHeight="1" x14ac:dyDescent="0.25">
      <c r="K1883"/>
    </row>
    <row r="1884" spans="11:11" ht="15" customHeight="1" x14ac:dyDescent="0.25">
      <c r="K1884"/>
    </row>
    <row r="1885" spans="11:11" ht="15" customHeight="1" x14ac:dyDescent="0.25">
      <c r="K1885"/>
    </row>
    <row r="1886" spans="11:11" ht="15" customHeight="1" x14ac:dyDescent="0.25">
      <c r="K1886"/>
    </row>
    <row r="1887" spans="11:11" ht="15" customHeight="1" x14ac:dyDescent="0.25">
      <c r="K1887"/>
    </row>
    <row r="1888" spans="11:11" ht="15" customHeight="1" x14ac:dyDescent="0.25">
      <c r="K1888"/>
    </row>
    <row r="1889" spans="11:11" ht="15" customHeight="1" x14ac:dyDescent="0.25">
      <c r="K1889"/>
    </row>
    <row r="1890" spans="11:11" ht="15" customHeight="1" x14ac:dyDescent="0.25">
      <c r="K1890"/>
    </row>
    <row r="1891" spans="11:11" ht="15" customHeight="1" x14ac:dyDescent="0.25">
      <c r="K1891"/>
    </row>
    <row r="1892" spans="11:11" ht="15" customHeight="1" x14ac:dyDescent="0.25">
      <c r="K1892"/>
    </row>
    <row r="1893" spans="11:11" ht="15" customHeight="1" x14ac:dyDescent="0.25">
      <c r="K1893"/>
    </row>
    <row r="1894" spans="11:11" ht="15" customHeight="1" x14ac:dyDescent="0.25">
      <c r="K1894"/>
    </row>
    <row r="1895" spans="11:11" ht="15" customHeight="1" x14ac:dyDescent="0.25">
      <c r="K1895"/>
    </row>
    <row r="1896" spans="11:11" ht="15" customHeight="1" x14ac:dyDescent="0.25">
      <c r="K1896"/>
    </row>
    <row r="1897" spans="11:11" ht="15" customHeight="1" x14ac:dyDescent="0.25">
      <c r="K1897"/>
    </row>
    <row r="1898" spans="11:11" ht="15" customHeight="1" x14ac:dyDescent="0.25">
      <c r="K1898"/>
    </row>
    <row r="1899" spans="11:11" ht="15" customHeight="1" x14ac:dyDescent="0.25">
      <c r="K1899"/>
    </row>
    <row r="1900" spans="11:11" ht="15" customHeight="1" x14ac:dyDescent="0.25">
      <c r="K1900"/>
    </row>
    <row r="1901" spans="11:11" ht="15" customHeight="1" x14ac:dyDescent="0.25">
      <c r="K1901"/>
    </row>
    <row r="1902" spans="11:11" ht="15" customHeight="1" x14ac:dyDescent="0.25">
      <c r="K1902"/>
    </row>
    <row r="1903" spans="11:11" ht="15" customHeight="1" x14ac:dyDescent="0.25">
      <c r="K1903"/>
    </row>
    <row r="1904" spans="11:11" ht="15" customHeight="1" x14ac:dyDescent="0.25">
      <c r="K1904"/>
    </row>
    <row r="1905" spans="11:11" ht="15" customHeight="1" x14ac:dyDescent="0.25">
      <c r="K1905"/>
    </row>
    <row r="1906" spans="11:11" ht="15" customHeight="1" x14ac:dyDescent="0.25">
      <c r="K1906"/>
    </row>
    <row r="1907" spans="11:11" ht="15" customHeight="1" x14ac:dyDescent="0.25">
      <c r="K1907"/>
    </row>
    <row r="1908" spans="11:11" ht="15" customHeight="1" x14ac:dyDescent="0.25">
      <c r="K1908"/>
    </row>
    <row r="1909" spans="11:11" ht="15" customHeight="1" x14ac:dyDescent="0.25">
      <c r="K1909"/>
    </row>
    <row r="1910" spans="11:11" ht="15" customHeight="1" x14ac:dyDescent="0.25">
      <c r="K1910"/>
    </row>
    <row r="1911" spans="11:11" ht="15" customHeight="1" x14ac:dyDescent="0.25">
      <c r="K1911"/>
    </row>
    <row r="1912" spans="11:11" ht="15" customHeight="1" x14ac:dyDescent="0.25">
      <c r="K1912"/>
    </row>
    <row r="1913" spans="11:11" ht="15" customHeight="1" x14ac:dyDescent="0.25">
      <c r="K1913"/>
    </row>
    <row r="1914" spans="11:11" ht="15" customHeight="1" x14ac:dyDescent="0.25">
      <c r="K1914"/>
    </row>
    <row r="1915" spans="11:11" ht="15" customHeight="1" x14ac:dyDescent="0.25">
      <c r="K1915"/>
    </row>
    <row r="1916" spans="11:11" ht="15" customHeight="1" x14ac:dyDescent="0.25">
      <c r="K1916"/>
    </row>
    <row r="1917" spans="11:11" ht="15" customHeight="1" x14ac:dyDescent="0.25">
      <c r="K1917"/>
    </row>
    <row r="1918" spans="11:11" ht="15" customHeight="1" x14ac:dyDescent="0.25">
      <c r="K1918"/>
    </row>
    <row r="1919" spans="11:11" ht="15" customHeight="1" x14ac:dyDescent="0.25">
      <c r="K1919"/>
    </row>
    <row r="1920" spans="11:11" ht="15" customHeight="1" x14ac:dyDescent="0.25">
      <c r="K1920"/>
    </row>
    <row r="1921" spans="11:11" ht="15" customHeight="1" x14ac:dyDescent="0.25">
      <c r="K1921"/>
    </row>
    <row r="1922" spans="11:11" ht="15" customHeight="1" x14ac:dyDescent="0.25">
      <c r="K1922"/>
    </row>
    <row r="1923" spans="11:11" ht="15" customHeight="1" x14ac:dyDescent="0.25">
      <c r="K1923"/>
    </row>
    <row r="1924" spans="11:11" ht="15" customHeight="1" x14ac:dyDescent="0.25">
      <c r="K1924"/>
    </row>
    <row r="1925" spans="11:11" ht="15" customHeight="1" x14ac:dyDescent="0.25">
      <c r="K1925"/>
    </row>
    <row r="1926" spans="11:11" ht="15" customHeight="1" x14ac:dyDescent="0.25">
      <c r="K1926"/>
    </row>
    <row r="1927" spans="11:11" ht="15" customHeight="1" x14ac:dyDescent="0.25">
      <c r="K1927"/>
    </row>
    <row r="1928" spans="11:11" ht="15" customHeight="1" x14ac:dyDescent="0.25">
      <c r="K1928"/>
    </row>
    <row r="1929" spans="11:11" ht="15" customHeight="1" x14ac:dyDescent="0.25">
      <c r="K1929"/>
    </row>
    <row r="1930" spans="11:11" ht="15" customHeight="1" x14ac:dyDescent="0.25">
      <c r="K1930"/>
    </row>
    <row r="1931" spans="11:11" ht="15" customHeight="1" x14ac:dyDescent="0.25">
      <c r="K1931"/>
    </row>
    <row r="1932" spans="11:11" ht="15" customHeight="1" x14ac:dyDescent="0.25">
      <c r="K1932"/>
    </row>
    <row r="1933" spans="11:11" ht="15" customHeight="1" x14ac:dyDescent="0.25">
      <c r="K1933"/>
    </row>
    <row r="1934" spans="11:11" ht="15" customHeight="1" x14ac:dyDescent="0.25">
      <c r="K1934"/>
    </row>
    <row r="1935" spans="11:11" ht="15" customHeight="1" x14ac:dyDescent="0.25">
      <c r="K1935"/>
    </row>
    <row r="1936" spans="11:11" ht="15" customHeight="1" x14ac:dyDescent="0.25">
      <c r="K1936"/>
    </row>
    <row r="1937" spans="11:11" ht="15" customHeight="1" x14ac:dyDescent="0.25">
      <c r="K1937"/>
    </row>
    <row r="1938" spans="11:11" ht="15" customHeight="1" x14ac:dyDescent="0.25">
      <c r="K1938"/>
    </row>
    <row r="1939" spans="11:11" ht="15" customHeight="1" x14ac:dyDescent="0.25">
      <c r="K1939"/>
    </row>
    <row r="1940" spans="11:11" ht="15" customHeight="1" x14ac:dyDescent="0.25">
      <c r="K1940"/>
    </row>
    <row r="1941" spans="11:11" ht="15" customHeight="1" x14ac:dyDescent="0.25">
      <c r="K1941"/>
    </row>
    <row r="1942" spans="11:11" ht="15" customHeight="1" x14ac:dyDescent="0.25">
      <c r="K1942"/>
    </row>
    <row r="1943" spans="11:11" ht="15" customHeight="1" x14ac:dyDescent="0.25">
      <c r="K1943"/>
    </row>
    <row r="1944" spans="11:11" ht="15" customHeight="1" x14ac:dyDescent="0.25">
      <c r="K1944"/>
    </row>
    <row r="1945" spans="11:11" ht="15" customHeight="1" x14ac:dyDescent="0.25">
      <c r="K1945"/>
    </row>
    <row r="1946" spans="11:11" ht="15" customHeight="1" x14ac:dyDescent="0.25">
      <c r="K1946"/>
    </row>
    <row r="1947" spans="11:11" ht="15" customHeight="1" x14ac:dyDescent="0.25">
      <c r="K1947"/>
    </row>
    <row r="1948" spans="11:11" ht="15" customHeight="1" x14ac:dyDescent="0.25">
      <c r="K1948"/>
    </row>
    <row r="1949" spans="11:11" ht="15" customHeight="1" x14ac:dyDescent="0.25">
      <c r="K1949"/>
    </row>
    <row r="1950" spans="11:11" ht="15" customHeight="1" x14ac:dyDescent="0.25">
      <c r="K1950"/>
    </row>
    <row r="1951" spans="11:11" ht="15" customHeight="1" x14ac:dyDescent="0.25">
      <c r="K1951"/>
    </row>
    <row r="1952" spans="11:11" ht="15" customHeight="1" x14ac:dyDescent="0.25">
      <c r="K1952"/>
    </row>
    <row r="1953" spans="11:11" ht="15" customHeight="1" x14ac:dyDescent="0.25">
      <c r="K1953"/>
    </row>
    <row r="1954" spans="11:11" ht="15" customHeight="1" x14ac:dyDescent="0.25">
      <c r="K1954"/>
    </row>
    <row r="1955" spans="11:11" ht="15" customHeight="1" x14ac:dyDescent="0.25">
      <c r="K1955"/>
    </row>
    <row r="1956" spans="11:11" ht="15" customHeight="1" x14ac:dyDescent="0.25">
      <c r="K1956"/>
    </row>
    <row r="1957" spans="11:11" ht="15" customHeight="1" x14ac:dyDescent="0.25">
      <c r="K1957"/>
    </row>
    <row r="1958" spans="11:11" ht="15" customHeight="1" x14ac:dyDescent="0.25">
      <c r="K1958"/>
    </row>
    <row r="1959" spans="11:11" ht="15" customHeight="1" x14ac:dyDescent="0.25">
      <c r="K1959"/>
    </row>
    <row r="1960" spans="11:11" ht="15" customHeight="1" x14ac:dyDescent="0.25">
      <c r="K1960"/>
    </row>
    <row r="1961" spans="11:11" ht="15" customHeight="1" x14ac:dyDescent="0.25">
      <c r="K1961"/>
    </row>
    <row r="1962" spans="11:11" ht="15" customHeight="1" x14ac:dyDescent="0.25">
      <c r="K1962"/>
    </row>
    <row r="1963" spans="11:11" ht="15" customHeight="1" x14ac:dyDescent="0.25">
      <c r="K1963"/>
    </row>
    <row r="1964" spans="11:11" ht="15" customHeight="1" x14ac:dyDescent="0.25">
      <c r="K1964"/>
    </row>
    <row r="1965" spans="11:11" ht="15" customHeight="1" x14ac:dyDescent="0.25">
      <c r="K1965"/>
    </row>
    <row r="1966" spans="11:11" ht="15" customHeight="1" x14ac:dyDescent="0.25">
      <c r="K1966"/>
    </row>
    <row r="1967" spans="11:11" ht="15" customHeight="1" x14ac:dyDescent="0.25">
      <c r="K1967"/>
    </row>
    <row r="1968" spans="11:11" ht="15" customHeight="1" x14ac:dyDescent="0.25">
      <c r="K1968"/>
    </row>
    <row r="1969" spans="11:11" ht="15" customHeight="1" x14ac:dyDescent="0.25">
      <c r="K1969"/>
    </row>
    <row r="1970" spans="11:11" ht="15" customHeight="1" x14ac:dyDescent="0.25">
      <c r="K1970"/>
    </row>
    <row r="1971" spans="11:11" ht="15" customHeight="1" x14ac:dyDescent="0.25">
      <c r="K1971"/>
    </row>
    <row r="1972" spans="11:11" ht="15" customHeight="1" x14ac:dyDescent="0.25">
      <c r="K1972"/>
    </row>
  </sheetData>
  <sheetProtection algorithmName="SHA-512" hashValue="d83unDGWgR41baTNxR5wK8NihpXndFbiqDo1HBPc/bCnyA0hwJnwIEH+9i7Ajp9st5cQHGYdJ6LaLD1Wpkbxuw==" saltValue="degXgE+JUqat9jbBs06wsw==" spinCount="100000" sheet="1" formatCells="0" formatColumns="0" formatRows="0" insertHyperlinks="0" sort="0" autoFilter="0" pivotTables="0"/>
  <mergeCells count="10">
    <mergeCell ref="B5:B6"/>
    <mergeCell ref="C5:E5"/>
    <mergeCell ref="F5:F6"/>
    <mergeCell ref="G5:G6"/>
    <mergeCell ref="H5:H6"/>
    <mergeCell ref="I5:K5"/>
    <mergeCell ref="L5:L6"/>
    <mergeCell ref="M5:M6"/>
    <mergeCell ref="N5:N6"/>
    <mergeCell ref="O5:O6"/>
  </mergeCells>
  <phoneticPr fontId="21" type="noConversion"/>
  <conditionalFormatting sqref="K1973:K1048576 K12:K618 K620:K1195">
    <cfRule type="beginsWith" dxfId="315" priority="197" operator="beginsWith" text="Parada:">
      <formula>LEFT(K12,LEN("Parada:"))="Parada:"</formula>
    </cfRule>
    <cfRule type="beginsWith" dxfId="314" priority="198" operator="beginsWith" text="Calidad">
      <formula>LEFT(K12,LEN("Calidad"))="Calidad"</formula>
    </cfRule>
    <cfRule type="beginsWith" dxfId="313" priority="199" operator="beginsWith" text="Control Producción">
      <formula>LEFT(K12,LEN("Control Producción"))="Control Producción"</formula>
    </cfRule>
    <cfRule type="beginsWith" dxfId="312" priority="200" operator="beginsWith" text="Montaje">
      <formula>LEFT(K12,LEN("Montaje"))="Montaje"</formula>
    </cfRule>
    <cfRule type="beginsWith" dxfId="311" priority="201" operator="beginsWith" text="Finalizada">
      <formula>LEFT(K12,LEN("Finalizada"))="Finalizada"</formula>
    </cfRule>
    <cfRule type="beginsWith" dxfId="310" priority="202" operator="beginsWith" text="Calidad NO OK">
      <formula>LEFT(K12,LEN("Calidad NO OK"))="Calidad NO OK"</formula>
    </cfRule>
    <cfRule type="beginsWith" dxfId="309" priority="203" operator="beginsWith" text="Sin Stock">
      <formula>LEFT(K12,LEN("Sin Stock"))="Sin Stock"</formula>
    </cfRule>
    <cfRule type="beginsWith" dxfId="308" priority="204" operator="beginsWith" text="Ingenieria">
      <formula>LEFT(K12,LEN("Ingenieria"))="Ingenieria"</formula>
    </cfRule>
  </conditionalFormatting>
  <conditionalFormatting sqref="P12:P296 P301:P1048576">
    <cfRule type="beginsWith" dxfId="307" priority="195" operator="beginsWith" text="Disponible">
      <formula>LEFT(P12,LEN("Disponible"))="Disponible"</formula>
    </cfRule>
    <cfRule type="beginsWith" dxfId="306" priority="196" operator="beginsWith" text="No Disponible">
      <formula>LEFT(P12,LEN("No Disponible"))="No Disponible"</formula>
    </cfRule>
  </conditionalFormatting>
  <conditionalFormatting sqref="K614 K617:K618 K621:K624 K639:K640 K650 K1973:K1048576 K12:K608 K658:K1195">
    <cfRule type="containsText" dxfId="305" priority="172" operator="containsText" text="CANCELADA">
      <formula>NOT(ISERROR(SEARCH("CANCELADA",K12)))</formula>
    </cfRule>
  </conditionalFormatting>
  <conditionalFormatting sqref="K609:K613">
    <cfRule type="containsText" dxfId="304" priority="160" operator="containsText" text="CANCELADA">
      <formula>NOT(ISERROR(SEARCH("CANCELADA",K609)))</formula>
    </cfRule>
  </conditionalFormatting>
  <conditionalFormatting sqref="K616">
    <cfRule type="containsText" dxfId="303" priority="158" operator="containsText" text="CANCELADA">
      <formula>NOT(ISERROR(SEARCH("CANCELADA",K616)))</formula>
    </cfRule>
  </conditionalFormatting>
  <conditionalFormatting sqref="K615">
    <cfRule type="containsText" dxfId="302" priority="157" operator="containsText" text="CANCELADA">
      <formula>NOT(ISERROR(SEARCH("CANCELADA",K615)))</formula>
    </cfRule>
  </conditionalFormatting>
  <conditionalFormatting sqref="K620">
    <cfRule type="containsText" dxfId="301" priority="156" operator="containsText" text="CANCELADA">
      <formula>NOT(ISERROR(SEARCH("CANCELADA",K620)))</formula>
    </cfRule>
  </conditionalFormatting>
  <conditionalFormatting sqref="K619">
    <cfRule type="beginsWith" dxfId="300" priority="148" operator="beginsWith" text="Parada:">
      <formula>LEFT(K619,LEN("Parada:"))="Parada:"</formula>
    </cfRule>
    <cfRule type="beginsWith" dxfId="299" priority="149" operator="beginsWith" text="Calidad">
      <formula>LEFT(K619,LEN("Calidad"))="Calidad"</formula>
    </cfRule>
    <cfRule type="beginsWith" dxfId="298" priority="150" operator="beginsWith" text="Control Producción">
      <formula>LEFT(K619,LEN("Control Producción"))="Control Producción"</formula>
    </cfRule>
    <cfRule type="beginsWith" dxfId="297" priority="151" operator="beginsWith" text="Montaje">
      <formula>LEFT(K619,LEN("Montaje"))="Montaje"</formula>
    </cfRule>
    <cfRule type="beginsWith" dxfId="296" priority="152" operator="beginsWith" text="Finalizada">
      <formula>LEFT(K619,LEN("Finalizada"))="Finalizada"</formula>
    </cfRule>
    <cfRule type="beginsWith" dxfId="295" priority="153" operator="beginsWith" text="Calidad NO OK">
      <formula>LEFT(K619,LEN("Calidad NO OK"))="Calidad NO OK"</formula>
    </cfRule>
    <cfRule type="beginsWith" dxfId="294" priority="154" operator="beginsWith" text="Sin Stock">
      <formula>LEFT(K619,LEN("Sin Stock"))="Sin Stock"</formula>
    </cfRule>
    <cfRule type="beginsWith" dxfId="293" priority="155" operator="beginsWith" text="Ingenieria">
      <formula>LEFT(K619,LEN("Ingenieria"))="Ingenieria"</formula>
    </cfRule>
  </conditionalFormatting>
  <conditionalFormatting sqref="K619">
    <cfRule type="containsText" dxfId="292" priority="147" operator="containsText" text="CANCELADA">
      <formula>NOT(ISERROR(SEARCH("CANCELADA",K619)))</formula>
    </cfRule>
  </conditionalFormatting>
  <conditionalFormatting sqref="K8:L8 J6 I5">
    <cfRule type="beginsWith" dxfId="291" priority="139" operator="beginsWith" text="Parada:">
      <formula>LEFT(I5,LEN("Parada:"))="Parada:"</formula>
    </cfRule>
    <cfRule type="beginsWith" dxfId="290" priority="140" operator="beginsWith" text="Calidad">
      <formula>LEFT(I5,LEN("Calidad"))="Calidad"</formula>
    </cfRule>
    <cfRule type="beginsWith" dxfId="289" priority="141" operator="beginsWith" text="Control Producción">
      <formula>LEFT(I5,LEN("Control Producción"))="Control Producción"</formula>
    </cfRule>
    <cfRule type="beginsWith" dxfId="288" priority="142" operator="beginsWith" text="Montaje">
      <formula>LEFT(I5,LEN("Montaje"))="Montaje"</formula>
    </cfRule>
    <cfRule type="beginsWith" dxfId="287" priority="143" operator="beginsWith" text="Finalizada">
      <formula>LEFT(I5,LEN("Finalizada"))="Finalizada"</formula>
    </cfRule>
    <cfRule type="beginsWith" dxfId="286" priority="144" operator="beginsWith" text="Calidad NO OK">
      <formula>LEFT(I5,LEN("Calidad NO OK"))="Calidad NO OK"</formula>
    </cfRule>
    <cfRule type="beginsWith" dxfId="285" priority="145" operator="beginsWith" text="Sin Stock">
      <formula>LEFT(I5,LEN("Sin Stock"))="Sin Stock"</formula>
    </cfRule>
    <cfRule type="beginsWith" dxfId="284" priority="146" operator="beginsWith" text="Ingenieria">
      <formula>LEFT(I5,LEN("Ingenieria"))="Ingenieria"</formula>
    </cfRule>
  </conditionalFormatting>
  <conditionalFormatting sqref="B9:F9">
    <cfRule type="beginsWith" dxfId="283" priority="137" operator="beginsWith" text="Disponible">
      <formula>LEFT(B9,LEN("Disponible"))="Disponible"</formula>
    </cfRule>
    <cfRule type="beginsWith" dxfId="282" priority="138" operator="beginsWith" text="No Disponible">
      <formula>LEFT(B9,LEN("No Disponible"))="No Disponible"</formula>
    </cfRule>
  </conditionalFormatting>
  <conditionalFormatting sqref="O5:O6">
    <cfRule type="beginsWith" dxfId="281" priority="135" operator="beginsWith" text="Disponible">
      <formula>LEFT(O5,LEN("Disponible"))="Disponible"</formula>
    </cfRule>
    <cfRule type="beginsWith" dxfId="280" priority="136" operator="beginsWith" text="No Disponible">
      <formula>LEFT(O5,LEN("No Disponible"))="No Disponible"</formula>
    </cfRule>
  </conditionalFormatting>
  <conditionalFormatting sqref="K625">
    <cfRule type="containsText" dxfId="279" priority="134" operator="containsText" text="CANCELADA">
      <formula>NOT(ISERROR(SEARCH("CANCELADA",K625)))</formula>
    </cfRule>
  </conditionalFormatting>
  <conditionalFormatting sqref="L339">
    <cfRule type="beginsWith" dxfId="278" priority="126" operator="beginsWith" text="Parada:">
      <formula>LEFT(L339,LEN("Parada:"))="Parada:"</formula>
    </cfRule>
    <cfRule type="beginsWith" dxfId="277" priority="127" operator="beginsWith" text="Calidad">
      <formula>LEFT(L339,LEN("Calidad"))="Calidad"</formula>
    </cfRule>
    <cfRule type="beginsWith" dxfId="276" priority="128" operator="beginsWith" text="Control Producción">
      <formula>LEFT(L339,LEN("Control Producción"))="Control Producción"</formula>
    </cfRule>
    <cfRule type="beginsWith" dxfId="275" priority="129" operator="beginsWith" text="Montaje">
      <formula>LEFT(L339,LEN("Montaje"))="Montaje"</formula>
    </cfRule>
    <cfRule type="beginsWith" dxfId="274" priority="130" operator="beginsWith" text="Finalizada">
      <formula>LEFT(L339,LEN("Finalizada"))="Finalizada"</formula>
    </cfRule>
    <cfRule type="beginsWith" dxfId="273" priority="131" operator="beginsWith" text="Calidad NO OK">
      <formula>LEFT(L339,LEN("Calidad NO OK"))="Calidad NO OK"</formula>
    </cfRule>
    <cfRule type="beginsWith" dxfId="272" priority="132" operator="beginsWith" text="Sin Stock">
      <formula>LEFT(L339,LEN("Sin Stock"))="Sin Stock"</formula>
    </cfRule>
    <cfRule type="beginsWith" dxfId="271" priority="133" operator="beginsWith" text="Ingenieria">
      <formula>LEFT(L339,LEN("Ingenieria"))="Ingenieria"</formula>
    </cfRule>
  </conditionalFormatting>
  <conditionalFormatting sqref="L339">
    <cfRule type="containsText" dxfId="270" priority="125" operator="containsText" text="CANCELADA">
      <formula>NOT(ISERROR(SEARCH("CANCELADA",L339)))</formula>
    </cfRule>
  </conditionalFormatting>
  <conditionalFormatting sqref="K626:K627">
    <cfRule type="containsText" dxfId="269" priority="123" operator="containsText" text="CANCELADA">
      <formula>NOT(ISERROR(SEARCH("CANCELADA",K626)))</formula>
    </cfRule>
  </conditionalFormatting>
  <conditionalFormatting sqref="K627">
    <cfRule type="containsText" dxfId="268" priority="122" operator="containsText" text="CANCELADA">
      <formula>NOT(ISERROR(SEARCH("CANCELADA",K627)))</formula>
    </cfRule>
  </conditionalFormatting>
  <conditionalFormatting sqref="K626:K627">
    <cfRule type="containsText" dxfId="267" priority="121" operator="containsText" text="CANCELADA">
      <formula>NOT(ISERROR(SEARCH("CANCELADA",K626)))</formula>
    </cfRule>
  </conditionalFormatting>
  <conditionalFormatting sqref="K627">
    <cfRule type="containsText" dxfId="266" priority="120" operator="containsText" text="CANCELADA">
      <formula>NOT(ISERROR(SEARCH("CANCELADA",K627)))</formula>
    </cfRule>
  </conditionalFormatting>
  <conditionalFormatting sqref="K628">
    <cfRule type="containsText" dxfId="265" priority="119" operator="containsText" text="CANCELADA">
      <formula>NOT(ISERROR(SEARCH("CANCELADA",K628)))</formula>
    </cfRule>
  </conditionalFormatting>
  <conditionalFormatting sqref="K629">
    <cfRule type="containsText" dxfId="264" priority="118" operator="containsText" text="CANCELADA">
      <formula>NOT(ISERROR(SEARCH("CANCELADA",K629)))</formula>
    </cfRule>
  </conditionalFormatting>
  <conditionalFormatting sqref="K630">
    <cfRule type="containsText" dxfId="263" priority="117" operator="containsText" text="CANCELADA">
      <formula>NOT(ISERROR(SEARCH("CANCELADA",K630)))</formula>
    </cfRule>
  </conditionalFormatting>
  <conditionalFormatting sqref="K629">
    <cfRule type="containsText" dxfId="262" priority="116" operator="containsText" text="CANCELADA">
      <formula>NOT(ISERROR(SEARCH("CANCELADA",K629)))</formula>
    </cfRule>
  </conditionalFormatting>
  <conditionalFormatting sqref="K630">
    <cfRule type="containsText" dxfId="261" priority="115" operator="containsText" text="CANCELADA">
      <formula>NOT(ISERROR(SEARCH("CANCELADA",K630)))</formula>
    </cfRule>
  </conditionalFormatting>
  <conditionalFormatting sqref="K341">
    <cfRule type="containsText" dxfId="260" priority="114" operator="containsText" text="CANCELADA">
      <formula>NOT(ISERROR(SEARCH("CANCELADA",K341)))</formula>
    </cfRule>
  </conditionalFormatting>
  <conditionalFormatting sqref="K632">
    <cfRule type="containsText" dxfId="259" priority="113" operator="containsText" text="CANCELADA">
      <formula>NOT(ISERROR(SEARCH("CANCELADA",K632)))</formula>
    </cfRule>
  </conditionalFormatting>
  <conditionalFormatting sqref="K632">
    <cfRule type="containsText" dxfId="258" priority="112" operator="containsText" text="CANCELADA">
      <formula>NOT(ISERROR(SEARCH("CANCELADA",K632)))</formula>
    </cfRule>
  </conditionalFormatting>
  <conditionalFormatting sqref="K631">
    <cfRule type="containsText" dxfId="257" priority="111" operator="containsText" text="CANCELADA">
      <formula>NOT(ISERROR(SEARCH("CANCELADA",K631)))</formula>
    </cfRule>
  </conditionalFormatting>
  <conditionalFormatting sqref="K632">
    <cfRule type="containsText" dxfId="256" priority="110" operator="containsText" text="CANCELADA">
      <formula>NOT(ISERROR(SEARCH("CANCELADA",K632)))</formula>
    </cfRule>
  </conditionalFormatting>
  <conditionalFormatting sqref="K632">
    <cfRule type="containsText" dxfId="255" priority="109" operator="containsText" text="CANCELADA">
      <formula>NOT(ISERROR(SEARCH("CANCELADA",K632)))</formula>
    </cfRule>
  </conditionalFormatting>
  <conditionalFormatting sqref="K633:K638">
    <cfRule type="containsText" dxfId="254" priority="108" operator="containsText" text="CANCELADA">
      <formula>NOT(ISERROR(SEARCH("CANCELADA",K633)))</formula>
    </cfRule>
  </conditionalFormatting>
  <conditionalFormatting sqref="K641:K642">
    <cfRule type="containsText" dxfId="253" priority="107" operator="containsText" text="CANCELADA">
      <formula>NOT(ISERROR(SEARCH("CANCELADA",K641)))</formula>
    </cfRule>
  </conditionalFormatting>
  <conditionalFormatting sqref="K643:K649">
    <cfRule type="containsText" dxfId="252" priority="106" operator="containsText" text="CANCELADA">
      <formula>NOT(ISERROR(SEARCH("CANCELADA",K643)))</formula>
    </cfRule>
  </conditionalFormatting>
  <conditionalFormatting sqref="K637">
    <cfRule type="containsText" dxfId="251" priority="105" operator="containsText" text="CANCELADA">
      <formula>NOT(ISERROR(SEARCH("CANCELADA",K637)))</formula>
    </cfRule>
  </conditionalFormatting>
  <conditionalFormatting sqref="K651:K655">
    <cfRule type="containsText" dxfId="250" priority="104" operator="containsText" text="CANCELADA">
      <formula>NOT(ISERROR(SEARCH("CANCELADA",K651)))</formula>
    </cfRule>
  </conditionalFormatting>
  <conditionalFormatting sqref="K647">
    <cfRule type="containsText" dxfId="249" priority="103" operator="containsText" text="CANCELADA">
      <formula>NOT(ISERROR(SEARCH("CANCELADA",K647)))</formula>
    </cfRule>
  </conditionalFormatting>
  <conditionalFormatting sqref="K657">
    <cfRule type="containsText" dxfId="248" priority="102" operator="containsText" text="CANCELADA">
      <formula>NOT(ISERROR(SEARCH("CANCELADA",K657)))</formula>
    </cfRule>
  </conditionalFormatting>
  <conditionalFormatting sqref="K1973:K1048576 K12:K1195">
    <cfRule type="containsText" dxfId="247" priority="101" operator="containsText" text="CALIDAD NO OK">
      <formula>NOT(ISERROR(SEARCH("CALIDAD NO OK",K12)))</formula>
    </cfRule>
  </conditionalFormatting>
  <conditionalFormatting sqref="K654:K655">
    <cfRule type="containsText" dxfId="246" priority="100" operator="containsText" text="CANCELADA">
      <formula>NOT(ISERROR(SEARCH("CANCELADA",K654)))</formula>
    </cfRule>
  </conditionalFormatting>
  <conditionalFormatting sqref="K657">
    <cfRule type="containsText" dxfId="245" priority="99" operator="containsText" text="CANCELADA">
      <formula>NOT(ISERROR(SEARCH("CANCELADA",K657)))</formula>
    </cfRule>
  </conditionalFormatting>
  <conditionalFormatting sqref="K657">
    <cfRule type="containsText" dxfId="244" priority="98" operator="containsText" text="CANCELADA">
      <formula>NOT(ISERROR(SEARCH("CANCELADA",K657)))</formula>
    </cfRule>
  </conditionalFormatting>
  <conditionalFormatting sqref="K657">
    <cfRule type="containsText" dxfId="243" priority="97" operator="containsText" text="CANCELADA">
      <formula>NOT(ISERROR(SEARCH("CANCELADA",K657)))</formula>
    </cfRule>
  </conditionalFormatting>
  <conditionalFormatting sqref="K657">
    <cfRule type="containsText" dxfId="242" priority="96" operator="containsText" text="CANCELADA">
      <formula>NOT(ISERROR(SEARCH("CANCELADA",K657)))</formula>
    </cfRule>
  </conditionalFormatting>
  <conditionalFormatting sqref="K651">
    <cfRule type="containsText" dxfId="241" priority="95" operator="containsText" text="CANCELADA">
      <formula>NOT(ISERROR(SEARCH("CANCELADA",K651)))</formula>
    </cfRule>
  </conditionalFormatting>
  <conditionalFormatting sqref="K658:K663">
    <cfRule type="containsText" dxfId="240" priority="94" operator="containsText" text="CANCELADA">
      <formula>NOT(ISERROR(SEARCH("CANCELADA",K658)))</formula>
    </cfRule>
  </conditionalFormatting>
  <conditionalFormatting sqref="K651">
    <cfRule type="containsText" dxfId="239" priority="93" operator="containsText" text="CANCELADA">
      <formula>NOT(ISERROR(SEARCH("CANCELADA",K651)))</formula>
    </cfRule>
  </conditionalFormatting>
  <conditionalFormatting sqref="K652">
    <cfRule type="containsText" dxfId="238" priority="92" operator="containsText" text="CANCELADA">
      <formula>NOT(ISERROR(SEARCH("CANCELADA",K652)))</formula>
    </cfRule>
  </conditionalFormatting>
  <conditionalFormatting sqref="K653">
    <cfRule type="containsText" dxfId="237" priority="91" operator="containsText" text="CANCELADA">
      <formula>NOT(ISERROR(SEARCH("CANCELADA",K653)))</formula>
    </cfRule>
  </conditionalFormatting>
  <conditionalFormatting sqref="K656">
    <cfRule type="containsText" dxfId="236" priority="90" operator="containsText" text="CANCELADA">
      <formula>NOT(ISERROR(SEARCH("CANCELADA",K656)))</formula>
    </cfRule>
  </conditionalFormatting>
  <conditionalFormatting sqref="K651">
    <cfRule type="containsText" dxfId="235" priority="89" operator="containsText" text="CANCELADA">
      <formula>NOT(ISERROR(SEARCH("CANCELADA",K651)))</formula>
    </cfRule>
  </conditionalFormatting>
  <conditionalFormatting sqref="K652">
    <cfRule type="containsText" dxfId="234" priority="88" operator="containsText" text="CANCELADA">
      <formula>NOT(ISERROR(SEARCH("CANCELADA",K652)))</formula>
    </cfRule>
  </conditionalFormatting>
  <conditionalFormatting sqref="K653">
    <cfRule type="containsText" dxfId="233" priority="87" operator="containsText" text="CANCELADA">
      <formula>NOT(ISERROR(SEARCH("CANCELADA",K653)))</formula>
    </cfRule>
  </conditionalFormatting>
  <conditionalFormatting sqref="K656">
    <cfRule type="containsText" dxfId="232" priority="86" operator="containsText" text="CANCELADA">
      <formula>NOT(ISERROR(SEARCH("CANCELADA",K656)))</formula>
    </cfRule>
  </conditionalFormatting>
  <conditionalFormatting sqref="K661">
    <cfRule type="containsText" dxfId="231" priority="85" operator="containsText" text="CANCELADA">
      <formula>NOT(ISERROR(SEARCH("CANCELADA",K661)))</formula>
    </cfRule>
  </conditionalFormatting>
  <conditionalFormatting sqref="K662">
    <cfRule type="containsText" dxfId="230" priority="84" operator="containsText" text="CANCELADA">
      <formula>NOT(ISERROR(SEARCH("CANCELADA",K662)))</formula>
    </cfRule>
  </conditionalFormatting>
  <conditionalFormatting sqref="K644:K645">
    <cfRule type="containsText" dxfId="229" priority="83" operator="containsText" text="CANCELADA">
      <formula>NOT(ISERROR(SEARCH("CANCELADA",K644)))</formula>
    </cfRule>
  </conditionalFormatting>
  <conditionalFormatting sqref="K644:K645">
    <cfRule type="containsText" dxfId="228" priority="82" operator="containsText" text="CANCELADA">
      <formula>NOT(ISERROR(SEARCH("CANCELADA",K644)))</formula>
    </cfRule>
  </conditionalFormatting>
  <conditionalFormatting sqref="K1973:K1048576 K658:K663 K670:K1195">
    <cfRule type="containsText" dxfId="227" priority="81" operator="containsText" text="CANCELADA">
      <formula>NOT(ISERROR(SEARCH("CANCELADA",K658)))</formula>
    </cfRule>
  </conditionalFormatting>
  <conditionalFormatting sqref="K1973:K1048576 K658:K663 K670:K1195">
    <cfRule type="containsText" dxfId="226" priority="80" operator="containsText" text="CANCELADA">
      <formula>NOT(ISERROR(SEARCH("CANCELADA",K658)))</formula>
    </cfRule>
  </conditionalFormatting>
  <conditionalFormatting sqref="K644">
    <cfRule type="containsText" dxfId="225" priority="79" operator="containsText" text="CANCELADA">
      <formula>NOT(ISERROR(SEARCH("CANCELADA",K644)))</formula>
    </cfRule>
  </conditionalFormatting>
  <conditionalFormatting sqref="K644">
    <cfRule type="containsText" dxfId="224" priority="78" operator="containsText" text="CANCELADA">
      <formula>NOT(ISERROR(SEARCH("CANCELADA",K644)))</formula>
    </cfRule>
  </conditionalFormatting>
  <conditionalFormatting sqref="K645">
    <cfRule type="containsText" dxfId="223" priority="77" operator="containsText" text="CANCELADA">
      <formula>NOT(ISERROR(SEARCH("CANCELADA",K645)))</formula>
    </cfRule>
  </conditionalFormatting>
  <conditionalFormatting sqref="K645">
    <cfRule type="containsText" dxfId="222" priority="76" operator="containsText" text="CANCELADA">
      <formula>NOT(ISERROR(SEARCH("CANCELADA",K645)))</formula>
    </cfRule>
  </conditionalFormatting>
  <conditionalFormatting sqref="K658:K659">
    <cfRule type="containsText" dxfId="221" priority="75" operator="containsText" text="CANCELADA">
      <formula>NOT(ISERROR(SEARCH("CANCELADA",K658)))</formula>
    </cfRule>
  </conditionalFormatting>
  <conditionalFormatting sqref="K658:K659">
    <cfRule type="containsText" dxfId="220" priority="74" operator="containsText" text="CANCELADA">
      <formula>NOT(ISERROR(SEARCH("CANCELADA",K658)))</formula>
    </cfRule>
  </conditionalFormatting>
  <conditionalFormatting sqref="K659">
    <cfRule type="containsText" dxfId="219" priority="73" operator="containsText" text="CANCELADA">
      <formula>NOT(ISERROR(SEARCH("CANCELADA",K659)))</formula>
    </cfRule>
  </conditionalFormatting>
  <conditionalFormatting sqref="K659">
    <cfRule type="containsText" dxfId="218" priority="72" operator="containsText" text="CANCELADA">
      <formula>NOT(ISERROR(SEARCH("CANCELADA",K659)))</formula>
    </cfRule>
  </conditionalFormatting>
  <conditionalFormatting sqref="K660:K661">
    <cfRule type="containsText" dxfId="217" priority="71" operator="containsText" text="CANCELADA">
      <formula>NOT(ISERROR(SEARCH("CANCELADA",K660)))</formula>
    </cfRule>
  </conditionalFormatting>
  <conditionalFormatting sqref="K660:K661">
    <cfRule type="containsText" dxfId="216" priority="70" operator="containsText" text="CANCELADA">
      <formula>NOT(ISERROR(SEARCH("CANCELADA",K660)))</formula>
    </cfRule>
  </conditionalFormatting>
  <conditionalFormatting sqref="K661">
    <cfRule type="containsText" dxfId="215" priority="69" operator="containsText" text="CANCELADA">
      <formula>NOT(ISERROR(SEARCH("CANCELADA",K661)))</formula>
    </cfRule>
  </conditionalFormatting>
  <conditionalFormatting sqref="K661">
    <cfRule type="containsText" dxfId="214" priority="68" operator="containsText" text="CANCELADA">
      <formula>NOT(ISERROR(SEARCH("CANCELADA",K661)))</formula>
    </cfRule>
  </conditionalFormatting>
  <conditionalFormatting sqref="K662">
    <cfRule type="containsText" dxfId="213" priority="67" operator="containsText" text="CANCELADA">
      <formula>NOT(ISERROR(SEARCH("CANCELADA",K662)))</formula>
    </cfRule>
  </conditionalFormatting>
  <conditionalFormatting sqref="K662">
    <cfRule type="containsText" dxfId="212" priority="66" operator="containsText" text="CANCELADA">
      <formula>NOT(ISERROR(SEARCH("CANCELADA",K662)))</formula>
    </cfRule>
  </conditionalFormatting>
  <conditionalFormatting sqref="K663">
    <cfRule type="containsText" dxfId="211" priority="65" operator="containsText" text="CANCELADA">
      <formula>NOT(ISERROR(SEARCH("CANCELADA",K663)))</formula>
    </cfRule>
  </conditionalFormatting>
  <conditionalFormatting sqref="K663">
    <cfRule type="containsText" dxfId="210" priority="64" operator="containsText" text="CANCELADA">
      <formula>NOT(ISERROR(SEARCH("CANCELADA",K663)))</formula>
    </cfRule>
  </conditionalFormatting>
  <conditionalFormatting sqref="K668">
    <cfRule type="containsText" dxfId="209" priority="63" operator="containsText" text="CANCELADA">
      <formula>NOT(ISERROR(SEARCH("CANCELADA",K668)))</formula>
    </cfRule>
  </conditionalFormatting>
  <conditionalFormatting sqref="K668">
    <cfRule type="containsText" dxfId="208" priority="62" operator="containsText" text="CANCELADA">
      <formula>NOT(ISERROR(SEARCH("CANCELADA",K668)))</formula>
    </cfRule>
  </conditionalFormatting>
  <conditionalFormatting sqref="K669">
    <cfRule type="containsText" dxfId="207" priority="61" operator="containsText" text="CANCELADA">
      <formula>NOT(ISERROR(SEARCH("CANCELADA",K669)))</formula>
    </cfRule>
  </conditionalFormatting>
  <conditionalFormatting sqref="K669">
    <cfRule type="containsText" dxfId="206" priority="60" operator="containsText" text="CANCELADA">
      <formula>NOT(ISERROR(SEARCH("CANCELADA",K669)))</formula>
    </cfRule>
  </conditionalFormatting>
  <conditionalFormatting sqref="K670">
    <cfRule type="containsText" dxfId="205" priority="59" operator="containsText" text="CANCELADA">
      <formula>NOT(ISERROR(SEARCH("CANCELADA",K670)))</formula>
    </cfRule>
  </conditionalFormatting>
  <conditionalFormatting sqref="K670">
    <cfRule type="containsText" dxfId="204" priority="58" operator="containsText" text="CANCELADA">
      <formula>NOT(ISERROR(SEARCH("CANCELADA",K670)))</formula>
    </cfRule>
  </conditionalFormatting>
  <conditionalFormatting sqref="K671:K672">
    <cfRule type="containsText" dxfId="203" priority="57" operator="containsText" text="CANCELADA">
      <formula>NOT(ISERROR(SEARCH("CANCELADA",K671)))</formula>
    </cfRule>
  </conditionalFormatting>
  <conditionalFormatting sqref="K671:K672">
    <cfRule type="containsText" dxfId="202" priority="56" operator="containsText" text="CANCELADA">
      <formula>NOT(ISERROR(SEARCH("CANCELADA",K671)))</formula>
    </cfRule>
  </conditionalFormatting>
  <conditionalFormatting sqref="K658:K659">
    <cfRule type="containsText" dxfId="201" priority="55" operator="containsText" text="CANCELADA">
      <formula>NOT(ISERROR(SEARCH("CANCELADA",K658)))</formula>
    </cfRule>
  </conditionalFormatting>
  <conditionalFormatting sqref="K658:K659">
    <cfRule type="containsText" dxfId="200" priority="54" operator="containsText" text="CANCELADA">
      <formula>NOT(ISERROR(SEARCH("CANCELADA",K658)))</formula>
    </cfRule>
  </conditionalFormatting>
  <conditionalFormatting sqref="K658:K659">
    <cfRule type="containsText" dxfId="199" priority="53" operator="containsText" text="CANCELADA">
      <formula>NOT(ISERROR(SEARCH("CANCELADA",K658)))</formula>
    </cfRule>
  </conditionalFormatting>
  <conditionalFormatting sqref="K658:K659">
    <cfRule type="containsText" dxfId="198" priority="52" operator="containsText" text="CANCELADA">
      <formula>NOT(ISERROR(SEARCH("CANCELADA",K658)))</formula>
    </cfRule>
  </conditionalFormatting>
  <conditionalFormatting sqref="K658:K659">
    <cfRule type="containsText" dxfId="197" priority="51" operator="containsText" text="CANCELADA">
      <formula>NOT(ISERROR(SEARCH("CANCELADA",K658)))</formula>
    </cfRule>
  </conditionalFormatting>
  <conditionalFormatting sqref="K659">
    <cfRule type="containsText" dxfId="196" priority="50" operator="containsText" text="CANCELADA">
      <formula>NOT(ISERROR(SEARCH("CANCELADA",K659)))</formula>
    </cfRule>
  </conditionalFormatting>
  <conditionalFormatting sqref="K659">
    <cfRule type="containsText" dxfId="195" priority="49" operator="containsText" text="CANCELADA">
      <formula>NOT(ISERROR(SEARCH("CANCELADA",K659)))</formula>
    </cfRule>
  </conditionalFormatting>
  <conditionalFormatting sqref="K659">
    <cfRule type="containsText" dxfId="194" priority="48" operator="containsText" text="CANCELADA">
      <formula>NOT(ISERROR(SEARCH("CANCELADA",K659)))</formula>
    </cfRule>
  </conditionalFormatting>
  <conditionalFormatting sqref="K659">
    <cfRule type="containsText" dxfId="193" priority="47" operator="containsText" text="CANCELADA">
      <formula>NOT(ISERROR(SEARCH("CANCELADA",K659)))</formula>
    </cfRule>
  </conditionalFormatting>
  <conditionalFormatting sqref="K659">
    <cfRule type="containsText" dxfId="192" priority="46" operator="containsText" text="CANCELADA">
      <formula>NOT(ISERROR(SEARCH("CANCELADA",K659)))</formula>
    </cfRule>
  </conditionalFormatting>
  <conditionalFormatting sqref="K660:K661">
    <cfRule type="containsText" dxfId="191" priority="45" operator="containsText" text="CANCELADA">
      <formula>NOT(ISERROR(SEARCH("CANCELADA",K660)))</formula>
    </cfRule>
  </conditionalFormatting>
  <conditionalFormatting sqref="K660:K661">
    <cfRule type="containsText" dxfId="190" priority="44" operator="containsText" text="CANCELADA">
      <formula>NOT(ISERROR(SEARCH("CANCELADA",K660)))</formula>
    </cfRule>
  </conditionalFormatting>
  <conditionalFormatting sqref="K660:K661">
    <cfRule type="containsText" dxfId="189" priority="43" operator="containsText" text="CANCELADA">
      <formula>NOT(ISERROR(SEARCH("CANCELADA",K660)))</formula>
    </cfRule>
  </conditionalFormatting>
  <conditionalFormatting sqref="K660:K661">
    <cfRule type="containsText" dxfId="188" priority="42" operator="containsText" text="CANCELADA">
      <formula>NOT(ISERROR(SEARCH("CANCELADA",K660)))</formula>
    </cfRule>
  </conditionalFormatting>
  <conditionalFormatting sqref="K660:K661">
    <cfRule type="containsText" dxfId="187" priority="41" operator="containsText" text="CANCELADA">
      <formula>NOT(ISERROR(SEARCH("CANCELADA",K660)))</formula>
    </cfRule>
  </conditionalFormatting>
  <conditionalFormatting sqref="K661">
    <cfRule type="containsText" dxfId="186" priority="40" operator="containsText" text="CANCELADA">
      <formula>NOT(ISERROR(SEARCH("CANCELADA",K661)))</formula>
    </cfRule>
  </conditionalFormatting>
  <conditionalFormatting sqref="K661">
    <cfRule type="containsText" dxfId="185" priority="39" operator="containsText" text="CANCELADA">
      <formula>NOT(ISERROR(SEARCH("CANCELADA",K661)))</formula>
    </cfRule>
  </conditionalFormatting>
  <conditionalFormatting sqref="K661">
    <cfRule type="containsText" dxfId="184" priority="38" operator="containsText" text="CANCELADA">
      <formula>NOT(ISERROR(SEARCH("CANCELADA",K661)))</formula>
    </cfRule>
  </conditionalFormatting>
  <conditionalFormatting sqref="K661">
    <cfRule type="containsText" dxfId="183" priority="37" operator="containsText" text="CANCELADA">
      <formula>NOT(ISERROR(SEARCH("CANCELADA",K661)))</formula>
    </cfRule>
  </conditionalFormatting>
  <conditionalFormatting sqref="K661">
    <cfRule type="containsText" dxfId="182" priority="36" operator="containsText" text="CANCELADA">
      <formula>NOT(ISERROR(SEARCH("CANCELADA",K661)))</formula>
    </cfRule>
  </conditionalFormatting>
  <conditionalFormatting sqref="K662">
    <cfRule type="containsText" dxfId="181" priority="35" operator="containsText" text="CANCELADA">
      <formula>NOT(ISERROR(SEARCH("CANCELADA",K662)))</formula>
    </cfRule>
  </conditionalFormatting>
  <conditionalFormatting sqref="K662">
    <cfRule type="containsText" dxfId="180" priority="34" operator="containsText" text="CANCELADA">
      <formula>NOT(ISERROR(SEARCH("CANCELADA",K662)))</formula>
    </cfRule>
  </conditionalFormatting>
  <conditionalFormatting sqref="K662">
    <cfRule type="containsText" dxfId="179" priority="33" operator="containsText" text="CANCELADA">
      <formula>NOT(ISERROR(SEARCH("CANCELADA",K662)))</formula>
    </cfRule>
  </conditionalFormatting>
  <conditionalFormatting sqref="K662">
    <cfRule type="containsText" dxfId="178" priority="32" operator="containsText" text="CANCELADA">
      <formula>NOT(ISERROR(SEARCH("CANCELADA",K662)))</formula>
    </cfRule>
  </conditionalFormatting>
  <conditionalFormatting sqref="K662">
    <cfRule type="containsText" dxfId="177" priority="31" operator="containsText" text="CANCELADA">
      <formula>NOT(ISERROR(SEARCH("CANCELADA",K662)))</formula>
    </cfRule>
  </conditionalFormatting>
  <conditionalFormatting sqref="K662">
    <cfRule type="containsText" dxfId="176" priority="30" operator="containsText" text="CANCELADA">
      <formula>NOT(ISERROR(SEARCH("CANCELADA",K662)))</formula>
    </cfRule>
  </conditionalFormatting>
  <conditionalFormatting sqref="K662">
    <cfRule type="containsText" dxfId="175" priority="29" operator="containsText" text="CANCELADA">
      <formula>NOT(ISERROR(SEARCH("CANCELADA",K662)))</formula>
    </cfRule>
  </conditionalFormatting>
  <conditionalFormatting sqref="K662">
    <cfRule type="containsText" dxfId="174" priority="28" operator="containsText" text="CANCELADA">
      <formula>NOT(ISERROR(SEARCH("CANCELADA",K662)))</formula>
    </cfRule>
  </conditionalFormatting>
  <conditionalFormatting sqref="K662">
    <cfRule type="containsText" dxfId="173" priority="27" operator="containsText" text="CANCELADA">
      <formula>NOT(ISERROR(SEARCH("CANCELADA",K662)))</formula>
    </cfRule>
  </conditionalFormatting>
  <conditionalFormatting sqref="K662">
    <cfRule type="containsText" dxfId="172" priority="26" operator="containsText" text="CANCELADA">
      <formula>NOT(ISERROR(SEARCH("CANCELADA",K662)))</formula>
    </cfRule>
  </conditionalFormatting>
  <conditionalFormatting sqref="K662">
    <cfRule type="containsText" dxfId="171" priority="25" operator="containsText" text="CANCELADA">
      <formula>NOT(ISERROR(SEARCH("CANCELADA",K662)))</formula>
    </cfRule>
  </conditionalFormatting>
  <conditionalFormatting sqref="K662">
    <cfRule type="containsText" dxfId="170" priority="24" operator="containsText" text="CANCELADA">
      <formula>NOT(ISERROR(SEARCH("CANCELADA",K662)))</formula>
    </cfRule>
  </conditionalFormatting>
  <conditionalFormatting sqref="K663">
    <cfRule type="containsText" dxfId="169" priority="23" operator="containsText" text="CANCELADA">
      <formula>NOT(ISERROR(SEARCH("CANCELADA",K663)))</formula>
    </cfRule>
  </conditionalFormatting>
  <conditionalFormatting sqref="K663">
    <cfRule type="containsText" dxfId="168" priority="22" operator="containsText" text="CANCELADA">
      <formula>NOT(ISERROR(SEARCH("CANCELADA",K663)))</formula>
    </cfRule>
  </conditionalFormatting>
  <conditionalFormatting sqref="K663">
    <cfRule type="containsText" dxfId="167" priority="21" operator="containsText" text="CANCELADA">
      <formula>NOT(ISERROR(SEARCH("CANCELADA",K663)))</formula>
    </cfRule>
  </conditionalFormatting>
  <conditionalFormatting sqref="K663">
    <cfRule type="containsText" dxfId="166" priority="20" operator="containsText" text="CANCELADA">
      <formula>NOT(ISERROR(SEARCH("CANCELADA",K663)))</formula>
    </cfRule>
  </conditionalFormatting>
  <conditionalFormatting sqref="K663">
    <cfRule type="containsText" dxfId="165" priority="19" operator="containsText" text="CANCELADA">
      <formula>NOT(ISERROR(SEARCH("CANCELADA",K663)))</formula>
    </cfRule>
  </conditionalFormatting>
  <conditionalFormatting sqref="K663">
    <cfRule type="containsText" dxfId="164" priority="18" operator="containsText" text="CANCELADA">
      <formula>NOT(ISERROR(SEARCH("CANCELADA",K663)))</formula>
    </cfRule>
  </conditionalFormatting>
  <conditionalFormatting sqref="K663">
    <cfRule type="containsText" dxfId="163" priority="17" operator="containsText" text="CANCELADA">
      <formula>NOT(ISERROR(SEARCH("CANCELADA",K663)))</formula>
    </cfRule>
  </conditionalFormatting>
  <conditionalFormatting sqref="K671">
    <cfRule type="containsText" dxfId="162" priority="16" operator="containsText" text="CANCELADA">
      <formula>NOT(ISERROR(SEARCH("CANCELADA",K671)))</formula>
    </cfRule>
  </conditionalFormatting>
  <conditionalFormatting sqref="K671">
    <cfRule type="containsText" dxfId="161" priority="15" operator="containsText" text="CANCELADA">
      <formula>NOT(ISERROR(SEARCH("CANCELADA",K671)))</formula>
    </cfRule>
  </conditionalFormatting>
  <conditionalFormatting sqref="K671">
    <cfRule type="containsText" dxfId="160" priority="14" operator="containsText" text="CANCELADA">
      <formula>NOT(ISERROR(SEARCH("CANCELADA",K671)))</formula>
    </cfRule>
  </conditionalFormatting>
  <conditionalFormatting sqref="K671">
    <cfRule type="containsText" dxfId="159" priority="13" operator="containsText" text="CANCELADA">
      <formula>NOT(ISERROR(SEARCH("CANCELADA",K671)))</formula>
    </cfRule>
  </conditionalFormatting>
  <conditionalFormatting sqref="K671">
    <cfRule type="containsText" dxfId="158" priority="12" operator="containsText" text="CANCELADA">
      <formula>NOT(ISERROR(SEARCH("CANCELADA",K671)))</formula>
    </cfRule>
  </conditionalFormatting>
  <conditionalFormatting sqref="K671">
    <cfRule type="containsText" dxfId="157" priority="11" operator="containsText" text="CANCELADA">
      <formula>NOT(ISERROR(SEARCH("CANCELADA",K671)))</formula>
    </cfRule>
  </conditionalFormatting>
  <conditionalFormatting sqref="K671">
    <cfRule type="containsText" dxfId="156" priority="10" operator="containsText" text="CANCELADA">
      <formula>NOT(ISERROR(SEARCH("CANCELADA",K671)))</formula>
    </cfRule>
  </conditionalFormatting>
  <conditionalFormatting sqref="K671">
    <cfRule type="containsText" dxfId="155" priority="9" operator="containsText" text="CANCELADA">
      <formula>NOT(ISERROR(SEARCH("CANCELADA",K671)))</formula>
    </cfRule>
  </conditionalFormatting>
  <conditionalFormatting sqref="K672">
    <cfRule type="containsText" dxfId="154" priority="8" operator="containsText" text="CANCELADA">
      <formula>NOT(ISERROR(SEARCH("CANCELADA",K672)))</formula>
    </cfRule>
  </conditionalFormatting>
  <conditionalFormatting sqref="K672">
    <cfRule type="containsText" dxfId="153" priority="7" operator="containsText" text="CANCELADA">
      <formula>NOT(ISERROR(SEARCH("CANCELADA",K672)))</formula>
    </cfRule>
  </conditionalFormatting>
  <conditionalFormatting sqref="K672">
    <cfRule type="containsText" dxfId="152" priority="6" operator="containsText" text="CANCELADA">
      <formula>NOT(ISERROR(SEARCH("CANCELADA",K672)))</formula>
    </cfRule>
  </conditionalFormatting>
  <conditionalFormatting sqref="K672">
    <cfRule type="containsText" dxfId="151" priority="5" operator="containsText" text="CANCELADA">
      <formula>NOT(ISERROR(SEARCH("CANCELADA",K672)))</formula>
    </cfRule>
  </conditionalFormatting>
  <conditionalFormatting sqref="K672">
    <cfRule type="containsText" dxfId="150" priority="4" operator="containsText" text="CANCELADA">
      <formula>NOT(ISERROR(SEARCH("CANCELADA",K672)))</formula>
    </cfRule>
  </conditionalFormatting>
  <conditionalFormatting sqref="K672">
    <cfRule type="containsText" dxfId="149" priority="3" operator="containsText" text="CANCELADA">
      <formula>NOT(ISERROR(SEARCH("CANCELADA",K672)))</formula>
    </cfRule>
  </conditionalFormatting>
  <conditionalFormatting sqref="K672">
    <cfRule type="containsText" dxfId="148" priority="2" operator="containsText" text="CANCELADA">
      <formula>NOT(ISERROR(SEARCH("CANCELADA",K672)))</formula>
    </cfRule>
  </conditionalFormatting>
  <conditionalFormatting sqref="K672">
    <cfRule type="containsText" dxfId="147" priority="1" operator="containsText" text="CANCELADA">
      <formula>NOT(ISERROR(SEARCH("CANCELADA",K672)))</formula>
    </cfRule>
  </conditionalFormatting>
  <pageMargins left="0.25" right="0.25" top="0.75" bottom="0.75" header="0.3" footer="0.3"/>
  <pageSetup paperSize="9" scale="19" fitToHeight="0"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D9D51F4B-11EE-4C27-8BAD-E3C80092F7E4}">
          <x14:formula1>
            <xm:f>Apoyo!$A$2:$A$26</xm:f>
          </x14:formula1>
          <xm:sqref>K1191:K1048576</xm:sqref>
        </x14:dataValidation>
        <x14:dataValidation type="list" allowBlank="1" showInputMessage="1" showErrorMessage="1" xr:uid="{B495291C-2562-4503-A340-01C5097CEB4A}">
          <x14:formula1>
            <xm:f>Apoyo!$A$2:$A$30</xm:f>
          </x14:formula1>
          <xm:sqref>K12:K1190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521B5-2366-40D1-A989-8CED9BDF3578}">
  <sheetPr codeName="Hoja3">
    <tabColor theme="9" tint="0.59999389629810485"/>
    <pageSetUpPr fitToPage="1"/>
  </sheetPr>
  <dimension ref="A1:V611"/>
  <sheetViews>
    <sheetView zoomScale="55" zoomScaleNormal="55" zoomScaleSheetLayoutView="80" workbookViewId="0">
      <selection activeCell="J64" sqref="J64"/>
    </sheetView>
  </sheetViews>
  <sheetFormatPr baseColWidth="10" defaultColWidth="11.42578125" defaultRowHeight="15" customHeight="1" outlineLevelRow="1" x14ac:dyDescent="0.25"/>
  <cols>
    <col min="1" max="2" width="2.5703125" customWidth="1"/>
    <col min="3" max="3" width="11" bestFit="1" customWidth="1"/>
    <col min="4" max="4" width="20.5703125" customWidth="1"/>
    <col min="5" max="5" width="24.42578125" style="1" customWidth="1"/>
    <col min="6" max="6" width="22" customWidth="1"/>
    <col min="7" max="7" width="35.5703125" customWidth="1"/>
    <col min="8" max="8" width="35.42578125" customWidth="1"/>
    <col min="9" max="9" width="24.42578125" customWidth="1"/>
    <col min="10" max="11" width="45.5703125" customWidth="1"/>
    <col min="12" max="12" width="102.42578125" customWidth="1"/>
    <col min="13" max="13" width="40.42578125" customWidth="1"/>
    <col min="14" max="14" width="34.5703125" bestFit="1" customWidth="1"/>
    <col min="15" max="15" width="27.42578125" bestFit="1" customWidth="1"/>
    <col min="16" max="16" width="24.42578125" bestFit="1" customWidth="1"/>
    <col min="17" max="17" width="12.5703125" style="50" customWidth="1"/>
    <col min="18" max="18" width="11.42578125" style="50" customWidth="1"/>
    <col min="19" max="19" width="16" customWidth="1"/>
    <col min="20" max="20" width="13.5703125" customWidth="1"/>
  </cols>
  <sheetData>
    <row r="1" spans="1:22" x14ac:dyDescent="0.25">
      <c r="A1" s="365"/>
      <c r="B1" s="365"/>
      <c r="C1" s="365"/>
      <c r="D1" s="365"/>
      <c r="E1" s="365"/>
      <c r="F1" s="365"/>
      <c r="G1" s="365"/>
      <c r="H1" s="365"/>
      <c r="I1" s="365"/>
      <c r="J1" s="365"/>
      <c r="K1" s="365"/>
      <c r="L1" s="365"/>
      <c r="M1" s="365"/>
      <c r="N1" s="365"/>
      <c r="O1" s="365"/>
      <c r="P1" s="365"/>
      <c r="Q1" s="365"/>
      <c r="R1" s="365"/>
      <c r="S1" s="365"/>
      <c r="T1" s="365"/>
      <c r="U1" s="365"/>
      <c r="V1" s="365"/>
    </row>
    <row r="2" spans="1:22" ht="38.85" customHeight="1" x14ac:dyDescent="0.25">
      <c r="A2" s="365"/>
      <c r="B2" s="365"/>
      <c r="C2" s="365"/>
      <c r="D2" s="365"/>
      <c r="E2" s="365"/>
      <c r="F2" s="395" t="s">
        <v>1563</v>
      </c>
      <c r="G2" s="396" t="s">
        <v>9</v>
      </c>
      <c r="H2" s="365"/>
      <c r="I2" s="674" t="s">
        <v>1571</v>
      </c>
      <c r="J2" s="675"/>
      <c r="K2" s="365"/>
      <c r="L2" s="365"/>
      <c r="M2" s="365"/>
      <c r="N2" s="365"/>
      <c r="O2" s="365"/>
      <c r="P2" s="365"/>
      <c r="Q2" s="365"/>
      <c r="R2" s="365"/>
      <c r="S2" s="365"/>
      <c r="T2" s="365"/>
      <c r="U2" s="365"/>
      <c r="V2" s="365"/>
    </row>
    <row r="3" spans="1:22" ht="21" x14ac:dyDescent="0.25">
      <c r="A3" s="365"/>
      <c r="B3" s="365"/>
      <c r="C3" s="365"/>
      <c r="D3" s="365"/>
      <c r="E3" s="365"/>
      <c r="F3" s="384" t="s">
        <v>1573</v>
      </c>
      <c r="G3" s="378" t="s">
        <v>1574</v>
      </c>
      <c r="H3" s="365"/>
      <c r="I3" s="397" t="s">
        <v>1572</v>
      </c>
      <c r="J3" s="400">
        <f>COUNTIF(Tabla132[ESTADO],"Open")</f>
        <v>0</v>
      </c>
      <c r="K3" s="365"/>
      <c r="L3" s="365"/>
      <c r="M3" s="365"/>
      <c r="N3" s="365"/>
      <c r="O3" s="365"/>
      <c r="P3" s="365"/>
      <c r="Q3" s="365"/>
      <c r="R3" s="365"/>
      <c r="S3" s="365"/>
      <c r="T3" s="365"/>
      <c r="U3" s="365"/>
      <c r="V3" s="365"/>
    </row>
    <row r="4" spans="1:22" ht="16.5" outlineLevel="1" x14ac:dyDescent="0.25">
      <c r="A4" s="365"/>
      <c r="B4" s="365"/>
      <c r="C4" s="365"/>
      <c r="D4" s="365"/>
      <c r="E4" s="365"/>
      <c r="F4" s="365"/>
      <c r="G4" s="365"/>
      <c r="H4" s="365"/>
      <c r="I4" s="398" t="s">
        <v>1411</v>
      </c>
      <c r="J4" s="401">
        <f>COUNTIF(Tabla132[ESTADO],"Closed")</f>
        <v>234</v>
      </c>
      <c r="K4" s="365"/>
      <c r="L4" s="365"/>
      <c r="M4" s="365"/>
      <c r="N4" s="365"/>
      <c r="O4" s="365"/>
      <c r="P4" s="365"/>
      <c r="Q4" s="365"/>
      <c r="R4" s="365"/>
      <c r="S4" s="365"/>
      <c r="T4" s="365"/>
      <c r="U4" s="365"/>
      <c r="V4" s="365"/>
    </row>
    <row r="5" spans="1:22" ht="21" customHeight="1" outlineLevel="1" thickBot="1" x14ac:dyDescent="0.3">
      <c r="A5" s="365"/>
      <c r="B5" s="365"/>
      <c r="C5" s="365"/>
      <c r="D5" s="365"/>
      <c r="E5" s="365"/>
      <c r="F5" s="365"/>
      <c r="G5" s="365"/>
      <c r="H5" s="365"/>
      <c r="I5" s="399" t="s">
        <v>1413</v>
      </c>
      <c r="J5" s="402">
        <f>J4+J3</f>
        <v>234</v>
      </c>
      <c r="K5" s="365"/>
      <c r="L5" s="365"/>
      <c r="M5" s="365"/>
      <c r="N5" s="365"/>
      <c r="O5" s="365"/>
      <c r="P5" s="365"/>
      <c r="Q5" s="365"/>
      <c r="R5" s="365"/>
      <c r="S5" s="365"/>
      <c r="T5" s="365"/>
      <c r="U5" s="365"/>
      <c r="V5" s="365"/>
    </row>
    <row r="6" spans="1:22" ht="15.75" thickBot="1" x14ac:dyDescent="0.3">
      <c r="A6" s="365"/>
      <c r="B6" s="365"/>
      <c r="C6" s="365"/>
      <c r="D6" s="365"/>
      <c r="E6" s="365"/>
      <c r="F6" s="365"/>
      <c r="G6" s="365"/>
      <c r="H6" s="365"/>
      <c r="I6" s="365"/>
      <c r="J6" s="365"/>
      <c r="K6" s="365"/>
      <c r="L6" s="365"/>
      <c r="M6" s="365"/>
      <c r="N6" s="365"/>
      <c r="O6" s="365"/>
      <c r="P6" s="365"/>
      <c r="Q6" s="365"/>
      <c r="R6" s="365"/>
      <c r="S6" s="365"/>
      <c r="T6" s="365"/>
      <c r="U6" s="365"/>
      <c r="V6" s="365"/>
    </row>
    <row r="7" spans="1:22" s="377" customFormat="1" ht="19.5" thickBot="1" x14ac:dyDescent="0.35">
      <c r="A7" s="365"/>
      <c r="B7" s="365"/>
      <c r="C7" s="403" t="s">
        <v>1416</v>
      </c>
      <c r="D7" s="404" t="s">
        <v>8</v>
      </c>
      <c r="E7" s="405" t="s">
        <v>237</v>
      </c>
      <c r="F7" s="406" t="s">
        <v>1575</v>
      </c>
      <c r="G7" s="405" t="s">
        <v>9</v>
      </c>
      <c r="H7" s="405" t="s">
        <v>1576</v>
      </c>
      <c r="I7" s="405" t="s">
        <v>3284</v>
      </c>
      <c r="J7" s="405" t="s">
        <v>1420</v>
      </c>
      <c r="K7" s="405" t="s">
        <v>1421</v>
      </c>
      <c r="L7" s="405" t="s">
        <v>3285</v>
      </c>
      <c r="M7" s="405" t="s">
        <v>1577</v>
      </c>
      <c r="N7" s="405" t="s">
        <v>3286</v>
      </c>
      <c r="O7" s="405" t="s">
        <v>3287</v>
      </c>
      <c r="P7" s="407" t="s">
        <v>3288</v>
      </c>
      <c r="Q7" s="365"/>
      <c r="R7" s="365"/>
      <c r="S7" s="365"/>
      <c r="T7" s="365"/>
      <c r="U7" s="365"/>
      <c r="V7" s="365"/>
    </row>
    <row r="8" spans="1:22" ht="87" hidden="1" x14ac:dyDescent="0.25">
      <c r="A8" s="365"/>
      <c r="B8" s="365"/>
      <c r="C8" s="273">
        <v>1</v>
      </c>
      <c r="D8" s="392">
        <f>VLOOKUP(Tabla132[[#This Row],[Código INDRA]],Tabla13[[Código Indra]:[ID2]],24,FALSE)</f>
        <v>2</v>
      </c>
      <c r="E8" s="273"/>
      <c r="F8" s="393">
        <v>45694</v>
      </c>
      <c r="G8" s="273" t="s">
        <v>1422</v>
      </c>
      <c r="H8" s="275" t="s">
        <v>1423</v>
      </c>
      <c r="I8" s="273"/>
      <c r="J8" s="273" t="str">
        <f>VLOOKUP(Tabla132[[#This Row],[Código INDRA]],Tabla13[[Código Indra]:[ID2]],8,FALSE)</f>
        <v>fchamarro</v>
      </c>
      <c r="K8" s="328" t="s">
        <v>1436</v>
      </c>
      <c r="L8" s="275" t="s">
        <v>1580</v>
      </c>
      <c r="M8" s="408" t="s">
        <v>1581</v>
      </c>
      <c r="N8" s="328"/>
      <c r="O8" s="328"/>
      <c r="P8" s="328"/>
      <c r="Q8" s="365"/>
      <c r="R8" s="365"/>
      <c r="S8" s="365"/>
      <c r="T8" s="365"/>
      <c r="U8" s="365"/>
      <c r="V8" s="365"/>
    </row>
    <row r="9" spans="1:22" ht="65.25" hidden="1" x14ac:dyDescent="0.25">
      <c r="A9" s="365"/>
      <c r="B9" s="365"/>
      <c r="C9" s="273">
        <v>2</v>
      </c>
      <c r="D9" s="392">
        <f>VLOOKUP(Tabla132[[#This Row],[Código INDRA]],Tabla13[[Código Indra]:[ID2]],24,FALSE)</f>
        <v>3</v>
      </c>
      <c r="E9" s="394"/>
      <c r="F9" s="393">
        <v>45694</v>
      </c>
      <c r="G9" s="273" t="s">
        <v>97</v>
      </c>
      <c r="H9" s="275" t="s">
        <v>98</v>
      </c>
      <c r="I9" s="273" t="s">
        <v>3289</v>
      </c>
      <c r="J9" s="273" t="str">
        <f>VLOOKUP(Tabla132[[#This Row],[Código INDRA]],Tabla13[[Código Indra]:[ID2]],8,FALSE)</f>
        <v>fchamarro</v>
      </c>
      <c r="K9" s="273" t="s">
        <v>1436</v>
      </c>
      <c r="L9" s="275" t="s">
        <v>1585</v>
      </c>
      <c r="M9" s="409" t="s">
        <v>1584</v>
      </c>
      <c r="N9" s="273"/>
      <c r="O9" s="385"/>
      <c r="P9" s="385"/>
      <c r="Q9" s="365"/>
      <c r="R9" s="365"/>
      <c r="S9" s="365"/>
      <c r="T9" s="365"/>
      <c r="U9" s="365"/>
      <c r="V9" s="365"/>
    </row>
    <row r="10" spans="1:22" ht="65.25" hidden="1" x14ac:dyDescent="0.25">
      <c r="A10" s="365"/>
      <c r="B10" s="365"/>
      <c r="C10" s="273">
        <v>3</v>
      </c>
      <c r="D10" s="392">
        <f>VLOOKUP(Tabla132[[#This Row],[Código INDRA]],Tabla13[[Código Indra]:[ID2]],24,FALSE)</f>
        <v>3</v>
      </c>
      <c r="E10" s="273"/>
      <c r="F10" s="393">
        <v>45694</v>
      </c>
      <c r="G10" s="273" t="s">
        <v>97</v>
      </c>
      <c r="H10" s="275" t="s">
        <v>98</v>
      </c>
      <c r="I10" s="273" t="s">
        <v>3289</v>
      </c>
      <c r="J10" s="273" t="str">
        <f>VLOOKUP(Tabla132[[#This Row],[Código INDRA]],Tabla13[[Código Indra]:[ID2]],8,FALSE)</f>
        <v>fchamarro</v>
      </c>
      <c r="K10" s="328" t="s">
        <v>1436</v>
      </c>
      <c r="L10" s="275" t="s">
        <v>1586</v>
      </c>
      <c r="M10" s="408" t="s">
        <v>1584</v>
      </c>
      <c r="N10" s="328"/>
      <c r="O10" s="328" t="s">
        <v>6</v>
      </c>
      <c r="P10" s="328" t="s">
        <v>1451</v>
      </c>
      <c r="Q10" s="365"/>
      <c r="R10" s="365"/>
      <c r="S10" s="365"/>
      <c r="T10" s="365"/>
      <c r="U10" s="365"/>
      <c r="V10" s="365"/>
    </row>
    <row r="11" spans="1:22" ht="65.25" x14ac:dyDescent="0.25">
      <c r="A11" s="365"/>
      <c r="B11" s="365"/>
      <c r="C11" s="273">
        <v>4</v>
      </c>
      <c r="D11" s="392">
        <f>VLOOKUP(Tabla132[[#This Row],[Código INDRA]],Tabla13[[Código Indra]:[ID2]],24,FALSE)</f>
        <v>4</v>
      </c>
      <c r="E11" s="394"/>
      <c r="F11" s="393">
        <v>45671</v>
      </c>
      <c r="G11" s="273" t="s">
        <v>120</v>
      </c>
      <c r="H11" s="275" t="s">
        <v>121</v>
      </c>
      <c r="I11" s="273" t="s">
        <v>3289</v>
      </c>
      <c r="J11" s="273" t="str">
        <f>VLOOKUP(Tabla132[[#This Row],[Código INDRA]],Tabla13[[Código Indra]:[ID2]],8,FALSE)</f>
        <v>adalvarezm</v>
      </c>
      <c r="K11" s="273"/>
      <c r="L11" s="275" t="s">
        <v>1616</v>
      </c>
      <c r="M11" s="273" t="s">
        <v>1588</v>
      </c>
      <c r="N11" s="273"/>
      <c r="O11" s="385" t="s">
        <v>6</v>
      </c>
      <c r="P11" s="385"/>
      <c r="Q11" s="365"/>
      <c r="R11" s="365"/>
      <c r="S11" s="365"/>
      <c r="T11" s="365"/>
      <c r="U11" s="365"/>
      <c r="V11" s="365"/>
    </row>
    <row r="12" spans="1:22" ht="108.75" hidden="1" x14ac:dyDescent="0.25">
      <c r="A12" s="365"/>
      <c r="B12" s="365"/>
      <c r="C12" s="273">
        <v>5</v>
      </c>
      <c r="D12" s="392">
        <f>VLOOKUP(Tabla132[[#This Row],[Código INDRA]],Tabla13[[Código Indra]:[ID2]],24,FALSE)</f>
        <v>5</v>
      </c>
      <c r="E12" s="273"/>
      <c r="F12" s="393">
        <v>45609</v>
      </c>
      <c r="G12" s="273" t="s">
        <v>257</v>
      </c>
      <c r="H12" s="275" t="s">
        <v>258</v>
      </c>
      <c r="I12" s="273" t="s">
        <v>3290</v>
      </c>
      <c r="J12" s="273" t="str">
        <f>VLOOKUP(Tabla132[[#This Row],[Código INDRA]],Tabla13[[Código Indra]:[ID2]],8,FALSE)</f>
        <v>adalvarezm</v>
      </c>
      <c r="K12" s="328" t="s">
        <v>1436</v>
      </c>
      <c r="L12" s="275" t="s">
        <v>1589</v>
      </c>
      <c r="M12" s="408" t="s">
        <v>1590</v>
      </c>
      <c r="N12" s="328"/>
      <c r="O12" s="328"/>
      <c r="P12" s="328"/>
      <c r="Q12" s="365"/>
      <c r="R12" s="365"/>
      <c r="S12" s="365"/>
      <c r="T12" s="365"/>
      <c r="U12" s="365"/>
      <c r="V12" s="365"/>
    </row>
    <row r="13" spans="1:22" ht="87" x14ac:dyDescent="0.25">
      <c r="A13" s="365"/>
      <c r="B13" s="365"/>
      <c r="C13" s="273">
        <v>6</v>
      </c>
      <c r="D13" s="392">
        <f>VLOOKUP(Tabla132[[#This Row],[Código INDRA]],Tabla13[[Código Indra]:[ID2]],24,FALSE)</f>
        <v>6</v>
      </c>
      <c r="E13" s="394"/>
      <c r="F13" s="393">
        <v>45559</v>
      </c>
      <c r="G13" s="273" t="s">
        <v>264</v>
      </c>
      <c r="H13" s="275" t="s">
        <v>265</v>
      </c>
      <c r="I13" s="273" t="s">
        <v>3290</v>
      </c>
      <c r="J13" s="273" t="str">
        <f>VLOOKUP(Tabla132[[#This Row],[Código INDRA]],Tabla13[[Código Indra]:[ID2]],8,FALSE)</f>
        <v>adalvarezm</v>
      </c>
      <c r="K13" s="273"/>
      <c r="L13" s="275" t="s">
        <v>3291</v>
      </c>
      <c r="M13" s="273" t="s">
        <v>3292</v>
      </c>
      <c r="N13" s="273"/>
      <c r="O13" s="385" t="s">
        <v>6</v>
      </c>
      <c r="P13" s="385"/>
      <c r="Q13" s="365"/>
      <c r="R13" s="365"/>
      <c r="S13" s="365"/>
      <c r="T13" s="365"/>
      <c r="U13" s="365"/>
      <c r="V13" s="365"/>
    </row>
    <row r="14" spans="1:22" ht="87" hidden="1" x14ac:dyDescent="0.25">
      <c r="A14" s="365"/>
      <c r="B14" s="365"/>
      <c r="C14" s="273">
        <v>7</v>
      </c>
      <c r="D14" s="392">
        <f>VLOOKUP(Tabla132[[#This Row],[Código INDRA]],Tabla13[[Código Indra]:[ID2]],24,FALSE)</f>
        <v>7</v>
      </c>
      <c r="E14" s="273"/>
      <c r="F14" s="393">
        <v>45671</v>
      </c>
      <c r="G14" s="273" t="s">
        <v>123</v>
      </c>
      <c r="H14" s="275" t="s">
        <v>124</v>
      </c>
      <c r="I14" s="273" t="s">
        <v>3289</v>
      </c>
      <c r="J14" s="273" t="str">
        <f>VLOOKUP(Tabla132[[#This Row],[Código INDRA]],Tabla13[[Código Indra]:[ID2]],8,FALSE)</f>
        <v>adalvarezm</v>
      </c>
      <c r="K14" s="328" t="s">
        <v>1436</v>
      </c>
      <c r="L14" s="275" t="s">
        <v>1593</v>
      </c>
      <c r="M14" s="328" t="s">
        <v>1594</v>
      </c>
      <c r="N14" s="328"/>
      <c r="O14" s="328" t="s">
        <v>6</v>
      </c>
      <c r="P14" s="328"/>
      <c r="Q14" s="365"/>
      <c r="R14" s="365"/>
      <c r="S14" s="365"/>
      <c r="T14" s="365"/>
      <c r="U14" s="365"/>
      <c r="V14" s="365"/>
    </row>
    <row r="15" spans="1:22" ht="87" hidden="1" x14ac:dyDescent="0.25">
      <c r="A15" s="365"/>
      <c r="B15" s="365"/>
      <c r="C15" s="273">
        <v>8</v>
      </c>
      <c r="D15" s="392">
        <f>VLOOKUP(Tabla132[[#This Row],[Código INDRA]],Tabla13[[Código Indra]:[ID2]],24,FALSE)</f>
        <v>8</v>
      </c>
      <c r="E15" s="394"/>
      <c r="F15" s="393">
        <v>45671</v>
      </c>
      <c r="G15" s="273" t="s">
        <v>125</v>
      </c>
      <c r="H15" s="275" t="s">
        <v>126</v>
      </c>
      <c r="I15" s="273" t="s">
        <v>3289</v>
      </c>
      <c r="J15" s="273" t="str">
        <f>VLOOKUP(Tabla132[[#This Row],[Código INDRA]],Tabla13[[Código Indra]:[ID2]],8,FALSE)</f>
        <v>adalvarezm</v>
      </c>
      <c r="K15" s="273" t="s">
        <v>1436</v>
      </c>
      <c r="L15" s="275" t="s">
        <v>1593</v>
      </c>
      <c r="M15" s="273" t="s">
        <v>1594</v>
      </c>
      <c r="N15" s="273"/>
      <c r="O15" s="385" t="s">
        <v>6</v>
      </c>
      <c r="P15" s="385" t="s">
        <v>3293</v>
      </c>
      <c r="Q15" s="365"/>
      <c r="R15" s="365"/>
      <c r="S15" s="365"/>
      <c r="T15" s="365"/>
      <c r="U15" s="365"/>
      <c r="V15" s="365"/>
    </row>
    <row r="16" spans="1:22" ht="130.5" x14ac:dyDescent="0.25">
      <c r="A16" s="365"/>
      <c r="B16" s="365"/>
      <c r="C16" s="273">
        <v>9</v>
      </c>
      <c r="D16" s="392">
        <f>VLOOKUP(Tabla132[[#This Row],[Código INDRA]],Tabla13[[Código Indra]:[ID2]],24,FALSE)</f>
        <v>9</v>
      </c>
      <c r="E16" s="273"/>
      <c r="F16" s="393">
        <v>45671</v>
      </c>
      <c r="G16" s="273" t="s">
        <v>127</v>
      </c>
      <c r="H16" s="275" t="s">
        <v>128</v>
      </c>
      <c r="I16" s="273" t="s">
        <v>3289</v>
      </c>
      <c r="J16" s="273" t="str">
        <f>VLOOKUP(Tabla132[[#This Row],[Código INDRA]],Tabla13[[Código Indra]:[ID2]],8,FALSE)</f>
        <v>adalvarezm</v>
      </c>
      <c r="K16" s="328"/>
      <c r="L16" s="275" t="s">
        <v>1616</v>
      </c>
      <c r="M16" s="328" t="s">
        <v>3294</v>
      </c>
      <c r="N16" s="328"/>
      <c r="O16" s="328" t="s">
        <v>6</v>
      </c>
      <c r="P16" s="328"/>
      <c r="Q16" s="365"/>
      <c r="R16" s="365"/>
      <c r="S16" s="365"/>
      <c r="T16" s="365"/>
      <c r="U16" s="365"/>
      <c r="V16" s="365"/>
    </row>
    <row r="17" spans="1:22" ht="108.75" hidden="1" x14ac:dyDescent="0.25">
      <c r="A17" s="365"/>
      <c r="B17" s="365"/>
      <c r="C17" s="273">
        <v>10</v>
      </c>
      <c r="D17" s="392">
        <f>VLOOKUP(Tabla132[[#This Row],[Código INDRA]],Tabla13[[Código Indra]:[ID2]],24,FALSE)</f>
        <v>10</v>
      </c>
      <c r="E17" s="394"/>
      <c r="F17" s="393">
        <v>45609</v>
      </c>
      <c r="G17" s="273" t="s">
        <v>268</v>
      </c>
      <c r="H17" s="275" t="s">
        <v>269</v>
      </c>
      <c r="I17" s="273" t="s">
        <v>3290</v>
      </c>
      <c r="J17" s="273" t="str">
        <f>VLOOKUP(Tabla132[[#This Row],[Código INDRA]],Tabla13[[Código Indra]:[ID2]],8,FALSE)</f>
        <v>mgomez</v>
      </c>
      <c r="K17" s="273" t="s">
        <v>1436</v>
      </c>
      <c r="L17" s="275" t="s">
        <v>1589</v>
      </c>
      <c r="M17" s="273" t="s">
        <v>1597</v>
      </c>
      <c r="N17" s="273"/>
      <c r="O17" s="385" t="s">
        <v>6</v>
      </c>
      <c r="P17" s="385" t="s">
        <v>1451</v>
      </c>
      <c r="Q17" s="365"/>
      <c r="R17" s="365"/>
      <c r="S17" s="365"/>
      <c r="T17" s="365"/>
      <c r="U17" s="365"/>
      <c r="V17" s="365"/>
    </row>
    <row r="18" spans="1:22" ht="43.5" hidden="1" x14ac:dyDescent="0.25">
      <c r="A18" s="365"/>
      <c r="B18" s="365"/>
      <c r="C18" s="273">
        <v>11</v>
      </c>
      <c r="D18" s="392">
        <f>VLOOKUP(Tabla132[[#This Row],[Código INDRA]],Tabla13[[Código Indra]:[ID2]],24,FALSE)</f>
        <v>11</v>
      </c>
      <c r="E18" s="273"/>
      <c r="F18" s="393">
        <v>45566</v>
      </c>
      <c r="G18" s="273" t="s">
        <v>690</v>
      </c>
      <c r="H18" s="275" t="s">
        <v>691</v>
      </c>
      <c r="I18" s="273" t="s">
        <v>3290</v>
      </c>
      <c r="J18" s="273" t="str">
        <f>VLOOKUP(Tabla132[[#This Row],[Código INDRA]],Tabla13[[Código Indra]:[ID2]],8,FALSE)</f>
        <v>mgomez</v>
      </c>
      <c r="K18" s="273" t="s">
        <v>1436</v>
      </c>
      <c r="L18" s="275" t="s">
        <v>1598</v>
      </c>
      <c r="M18" s="328"/>
      <c r="N18" s="328">
        <v>45694</v>
      </c>
      <c r="O18" s="328" t="s">
        <v>6</v>
      </c>
      <c r="P18" s="328" t="s">
        <v>3293</v>
      </c>
      <c r="Q18" s="365"/>
      <c r="R18" s="365"/>
      <c r="S18" s="365"/>
      <c r="T18" s="365"/>
      <c r="U18" s="365"/>
      <c r="V18" s="365"/>
    </row>
    <row r="19" spans="1:22" ht="43.5" hidden="1" x14ac:dyDescent="0.25">
      <c r="A19" s="365"/>
      <c r="B19" s="365"/>
      <c r="C19" s="273">
        <v>12</v>
      </c>
      <c r="D19" s="392">
        <f>VLOOKUP(Tabla132[[#This Row],[Código INDRA]],Tabla13[[Código Indra]:[ID2]],24,FALSE)</f>
        <v>11</v>
      </c>
      <c r="E19" s="394"/>
      <c r="F19" s="393">
        <v>45566</v>
      </c>
      <c r="G19" s="273" t="s">
        <v>690</v>
      </c>
      <c r="H19" s="275" t="s">
        <v>691</v>
      </c>
      <c r="I19" s="273" t="s">
        <v>3290</v>
      </c>
      <c r="J19" s="273" t="str">
        <f>VLOOKUP(Tabla132[[#This Row],[Código INDRA]],Tabla13[[Código Indra]:[ID2]],8,FALSE)</f>
        <v>mgomez</v>
      </c>
      <c r="K19" s="328" t="s">
        <v>1436</v>
      </c>
      <c r="L19" s="275" t="s">
        <v>1599</v>
      </c>
      <c r="M19" s="273"/>
      <c r="N19" s="273">
        <v>45694</v>
      </c>
      <c r="O19" s="385" t="s">
        <v>6</v>
      </c>
      <c r="P19" s="385" t="s">
        <v>3293</v>
      </c>
      <c r="Q19" s="365"/>
      <c r="R19" s="365"/>
      <c r="S19" s="365"/>
      <c r="T19" s="365"/>
      <c r="U19" s="365"/>
      <c r="V19" s="365"/>
    </row>
    <row r="20" spans="1:22" ht="43.5" hidden="1" x14ac:dyDescent="0.25">
      <c r="A20" s="365"/>
      <c r="B20" s="365"/>
      <c r="C20" s="273">
        <v>13</v>
      </c>
      <c r="D20" s="392">
        <f>VLOOKUP(Tabla132[[#This Row],[Código INDRA]],Tabla13[[Código Indra]:[ID2]],24,FALSE)</f>
        <v>11</v>
      </c>
      <c r="E20" s="273"/>
      <c r="F20" s="393">
        <v>45566</v>
      </c>
      <c r="G20" s="273" t="s">
        <v>690</v>
      </c>
      <c r="H20" s="275" t="s">
        <v>691</v>
      </c>
      <c r="I20" s="273" t="s">
        <v>3290</v>
      </c>
      <c r="J20" s="273" t="str">
        <f>VLOOKUP(Tabla132[[#This Row],[Código INDRA]],Tabla13[[Código Indra]:[ID2]],8,FALSE)</f>
        <v>mgomez</v>
      </c>
      <c r="K20" s="273" t="s">
        <v>1436</v>
      </c>
      <c r="L20" s="275" t="s">
        <v>1600</v>
      </c>
      <c r="M20" s="328"/>
      <c r="N20" s="328">
        <v>45694</v>
      </c>
      <c r="O20" s="328" t="s">
        <v>6</v>
      </c>
      <c r="P20" s="328" t="s">
        <v>3293</v>
      </c>
      <c r="Q20" s="365"/>
      <c r="R20" s="365"/>
      <c r="S20" s="365"/>
      <c r="T20" s="365"/>
      <c r="U20" s="365"/>
      <c r="V20" s="365"/>
    </row>
    <row r="21" spans="1:22" ht="130.5" x14ac:dyDescent="0.25">
      <c r="A21" s="365"/>
      <c r="B21" s="365"/>
      <c r="C21" s="273">
        <v>14</v>
      </c>
      <c r="D21" s="392">
        <f>VLOOKUP(Tabla132[[#This Row],[Código INDRA]],Tabla13[[Código Indra]:[ID2]],24,FALSE)</f>
        <v>12</v>
      </c>
      <c r="E21" s="394"/>
      <c r="F21" s="393">
        <v>45671</v>
      </c>
      <c r="G21" s="273" t="s">
        <v>133</v>
      </c>
      <c r="H21" s="275" t="s">
        <v>134</v>
      </c>
      <c r="I21" s="273" t="s">
        <v>3289</v>
      </c>
      <c r="J21" s="273" t="str">
        <f>VLOOKUP(Tabla132[[#This Row],[Código INDRA]],Tabla13[[Código Indra]:[ID2]],8,FALSE)</f>
        <v>adalvarezm</v>
      </c>
      <c r="K21" s="328"/>
      <c r="L21" s="275" t="s">
        <v>1616</v>
      </c>
      <c r="M21" s="273" t="s">
        <v>3294</v>
      </c>
      <c r="N21" s="273"/>
      <c r="O21" s="385" t="s">
        <v>6</v>
      </c>
      <c r="P21" s="385"/>
      <c r="Q21" s="365"/>
      <c r="R21" s="365"/>
      <c r="S21" s="365"/>
      <c r="T21" s="365"/>
      <c r="U21" s="365"/>
      <c r="V21" s="365"/>
    </row>
    <row r="22" spans="1:22" ht="43.5" hidden="1" x14ac:dyDescent="0.25">
      <c r="A22" s="365"/>
      <c r="B22" s="365"/>
      <c r="C22" s="273">
        <v>15</v>
      </c>
      <c r="D22" s="392">
        <f>VLOOKUP(Tabla132[[#This Row],[Código INDRA]],Tabla13[[Código Indra]:[ID2]],24,FALSE)</f>
        <v>13</v>
      </c>
      <c r="E22" s="273"/>
      <c r="F22" s="393">
        <v>45565</v>
      </c>
      <c r="G22" s="273" t="s">
        <v>272</v>
      </c>
      <c r="H22" s="275" t="s">
        <v>273</v>
      </c>
      <c r="I22" s="273" t="s">
        <v>3295</v>
      </c>
      <c r="J22" s="273" t="str">
        <f>VLOOKUP(Tabla132[[#This Row],[Código INDRA]],Tabla13[[Código Indra]:[ID2]],8,FALSE)</f>
        <v>adalvarezm</v>
      </c>
      <c r="K22" s="273" t="s">
        <v>1436</v>
      </c>
      <c r="L22" s="275" t="s">
        <v>1602</v>
      </c>
      <c r="M22" s="328" t="s">
        <v>1603</v>
      </c>
      <c r="N22" s="328"/>
      <c r="O22" s="328" t="s">
        <v>6</v>
      </c>
      <c r="P22" s="328" t="s">
        <v>1451</v>
      </c>
      <c r="Q22" s="365"/>
      <c r="R22" s="365"/>
      <c r="S22" s="365"/>
      <c r="T22" s="365"/>
      <c r="U22" s="365"/>
      <c r="V22" s="365"/>
    </row>
    <row r="23" spans="1:22" ht="65.25" hidden="1" x14ac:dyDescent="0.25">
      <c r="A23" s="365"/>
      <c r="B23" s="365"/>
      <c r="C23" s="273">
        <v>16</v>
      </c>
      <c r="D23" s="392">
        <f>VLOOKUP(Tabla132[[#This Row],[Código INDRA]],Tabla13[[Código Indra]:[ID2]],24,FALSE)</f>
        <v>13</v>
      </c>
      <c r="E23" s="394"/>
      <c r="F23" s="393">
        <v>45565</v>
      </c>
      <c r="G23" s="273" t="s">
        <v>272</v>
      </c>
      <c r="H23" s="275" t="s">
        <v>273</v>
      </c>
      <c r="I23" s="273" t="s">
        <v>3295</v>
      </c>
      <c r="J23" s="273" t="str">
        <f>VLOOKUP(Tabla132[[#This Row],[Código INDRA]],Tabla13[[Código Indra]:[ID2]],8,FALSE)</f>
        <v>adalvarezm</v>
      </c>
      <c r="K23" s="328" t="s">
        <v>1436</v>
      </c>
      <c r="L23" s="275" t="s">
        <v>1604</v>
      </c>
      <c r="M23" s="273" t="s">
        <v>1603</v>
      </c>
      <c r="N23" s="273"/>
      <c r="O23" s="385" t="s">
        <v>6</v>
      </c>
      <c r="P23" s="385" t="s">
        <v>1451</v>
      </c>
      <c r="Q23" s="365"/>
      <c r="R23" s="365"/>
      <c r="S23" s="365"/>
      <c r="T23" s="365"/>
      <c r="U23" s="365"/>
      <c r="V23" s="365"/>
    </row>
    <row r="24" spans="1:22" ht="65.25" hidden="1" x14ac:dyDescent="0.25">
      <c r="A24" s="365"/>
      <c r="B24" s="365"/>
      <c r="C24" s="273">
        <v>17</v>
      </c>
      <c r="D24" s="392">
        <f>VLOOKUP(Tabla132[[#This Row],[Código INDRA]],Tabla13[[Código Indra]:[ID2]],24,FALSE)</f>
        <v>14</v>
      </c>
      <c r="E24" s="273"/>
      <c r="F24" s="393">
        <v>14</v>
      </c>
      <c r="G24" s="273" t="s">
        <v>1382</v>
      </c>
      <c r="H24" s="275" t="s">
        <v>1383</v>
      </c>
      <c r="I24" s="273" t="s">
        <v>3289</v>
      </c>
      <c r="J24" s="273" t="str">
        <f>VLOOKUP(Tabla132[[#This Row],[Código INDRA]],Tabla13[[Código Indra]:[ID2]],8,FALSE)</f>
        <v>adalvarezm</v>
      </c>
      <c r="K24" s="273" t="s">
        <v>1436</v>
      </c>
      <c r="L24" s="275" t="s">
        <v>1607</v>
      </c>
      <c r="M24" s="328" t="s">
        <v>1606</v>
      </c>
      <c r="N24" s="328"/>
      <c r="O24" s="328" t="s">
        <v>6</v>
      </c>
      <c r="P24" s="328"/>
      <c r="Q24" s="365"/>
      <c r="R24" s="365"/>
      <c r="S24" s="365"/>
      <c r="T24" s="365"/>
      <c r="U24" s="365"/>
      <c r="V24" s="365"/>
    </row>
    <row r="25" spans="1:22" ht="65.25" hidden="1" x14ac:dyDescent="0.25">
      <c r="A25" s="365"/>
      <c r="B25" s="365"/>
      <c r="C25" s="273">
        <v>18</v>
      </c>
      <c r="D25" s="392">
        <f>VLOOKUP(Tabla132[[#This Row],[Código INDRA]],Tabla13[[Código Indra]:[ID2]],24,FALSE)</f>
        <v>15</v>
      </c>
      <c r="E25" s="394"/>
      <c r="F25" s="393">
        <v>45565</v>
      </c>
      <c r="G25" s="273" t="s">
        <v>278</v>
      </c>
      <c r="H25" s="275" t="s">
        <v>279</v>
      </c>
      <c r="I25" s="273" t="s">
        <v>3295</v>
      </c>
      <c r="J25" s="273" t="str">
        <f>VLOOKUP(Tabla132[[#This Row],[Código INDRA]],Tabla13[[Código Indra]:[ID2]],8,FALSE)</f>
        <v>adalvarezm</v>
      </c>
      <c r="K25" s="328" t="s">
        <v>1436</v>
      </c>
      <c r="L25" s="275" t="s">
        <v>1608</v>
      </c>
      <c r="M25" s="273" t="s">
        <v>1609</v>
      </c>
      <c r="N25" s="273"/>
      <c r="O25" s="385"/>
      <c r="P25" s="385"/>
      <c r="Q25" s="365"/>
      <c r="R25" s="365"/>
      <c r="S25" s="365"/>
      <c r="T25" s="365"/>
      <c r="U25" s="365"/>
      <c r="V25" s="365"/>
    </row>
    <row r="26" spans="1:22" ht="65.25" hidden="1" x14ac:dyDescent="0.25">
      <c r="A26" s="365"/>
      <c r="B26" s="365"/>
      <c r="C26" s="273">
        <v>19</v>
      </c>
      <c r="D26" s="392">
        <f>VLOOKUP(Tabla132[[#This Row],[Código INDRA]],Tabla13[[Código Indra]:[ID2]],24,FALSE)</f>
        <v>15</v>
      </c>
      <c r="E26" s="273"/>
      <c r="F26" s="393">
        <v>45565</v>
      </c>
      <c r="G26" s="273" t="s">
        <v>278</v>
      </c>
      <c r="H26" s="275" t="s">
        <v>279</v>
      </c>
      <c r="I26" s="273" t="s">
        <v>3295</v>
      </c>
      <c r="J26" s="273" t="str">
        <f>VLOOKUP(Tabla132[[#This Row],[Código INDRA]],Tabla13[[Código Indra]:[ID2]],8,FALSE)</f>
        <v>adalvarezm</v>
      </c>
      <c r="K26" s="273" t="s">
        <v>1436</v>
      </c>
      <c r="L26" s="275" t="s">
        <v>1610</v>
      </c>
      <c r="M26" s="328" t="s">
        <v>1609</v>
      </c>
      <c r="N26" s="328"/>
      <c r="O26" s="328"/>
      <c r="P26" s="328"/>
      <c r="Q26" s="365"/>
      <c r="R26" s="365"/>
      <c r="S26" s="365"/>
      <c r="T26" s="365"/>
      <c r="U26" s="365"/>
      <c r="V26" s="365"/>
    </row>
    <row r="27" spans="1:22" ht="65.25" hidden="1" x14ac:dyDescent="0.25">
      <c r="A27" s="365"/>
      <c r="B27" s="365"/>
      <c r="C27" s="273">
        <v>20</v>
      </c>
      <c r="D27" s="392">
        <f>VLOOKUP(Tabla132[[#This Row],[Código INDRA]],Tabla13[[Código Indra]:[ID2]],24,FALSE)</f>
        <v>15</v>
      </c>
      <c r="E27" s="394"/>
      <c r="F27" s="393">
        <v>45565</v>
      </c>
      <c r="G27" s="273" t="s">
        <v>278</v>
      </c>
      <c r="H27" s="275" t="s">
        <v>279</v>
      </c>
      <c r="I27" s="273" t="s">
        <v>3295</v>
      </c>
      <c r="J27" s="273" t="str">
        <f>VLOOKUP(Tabla132[[#This Row],[Código INDRA]],Tabla13[[Código Indra]:[ID2]],8,FALSE)</f>
        <v>adalvarezm</v>
      </c>
      <c r="K27" s="328" t="s">
        <v>1436</v>
      </c>
      <c r="L27" s="275" t="s">
        <v>1611</v>
      </c>
      <c r="M27" s="273" t="s">
        <v>1609</v>
      </c>
      <c r="N27" s="273"/>
      <c r="O27" s="385"/>
      <c r="P27" s="385"/>
      <c r="Q27" s="365"/>
      <c r="R27" s="365"/>
      <c r="S27" s="365"/>
      <c r="T27" s="365"/>
      <c r="U27" s="365"/>
      <c r="V27" s="365"/>
    </row>
    <row r="28" spans="1:22" ht="65.25" hidden="1" x14ac:dyDescent="0.25">
      <c r="A28" s="365"/>
      <c r="B28" s="365"/>
      <c r="C28" s="273">
        <v>21</v>
      </c>
      <c r="D28" s="392">
        <f>VLOOKUP(Tabla132[[#This Row],[Código INDRA]],Tabla13[[Código Indra]:[ID2]],24,FALSE)</f>
        <v>16</v>
      </c>
      <c r="E28" s="273"/>
      <c r="F28" s="393">
        <v>16</v>
      </c>
      <c r="G28" s="273" t="s">
        <v>1385</v>
      </c>
      <c r="H28" s="275" t="s">
        <v>1386</v>
      </c>
      <c r="I28" s="273" t="s">
        <v>3289</v>
      </c>
      <c r="J28" s="273" t="str">
        <f>VLOOKUP(Tabla132[[#This Row],[Código INDRA]],Tabla13[[Código Indra]:[ID2]],8,FALSE)</f>
        <v>adalvarezm</v>
      </c>
      <c r="K28" s="273" t="s">
        <v>1436</v>
      </c>
      <c r="L28" s="275" t="s">
        <v>1607</v>
      </c>
      <c r="M28" s="328" t="s">
        <v>1606</v>
      </c>
      <c r="N28" s="328"/>
      <c r="O28" s="328" t="s">
        <v>1451</v>
      </c>
      <c r="P28" s="328" t="s">
        <v>3293</v>
      </c>
      <c r="Q28" s="365"/>
      <c r="R28" s="365"/>
      <c r="S28" s="365"/>
      <c r="T28" s="365"/>
      <c r="U28" s="365"/>
      <c r="V28" s="365"/>
    </row>
    <row r="29" spans="1:22" ht="43.5" hidden="1" x14ac:dyDescent="0.25">
      <c r="A29" s="365"/>
      <c r="B29" s="365"/>
      <c r="C29" s="273">
        <v>22</v>
      </c>
      <c r="D29" s="392">
        <f>VLOOKUP(Tabla132[[#This Row],[Código INDRA]],Tabla13[[Código Indra]:[ID2]],24,FALSE)</f>
        <v>18</v>
      </c>
      <c r="E29" s="394"/>
      <c r="F29" s="393">
        <v>45565</v>
      </c>
      <c r="G29" s="273" t="s">
        <v>282</v>
      </c>
      <c r="H29" s="275" t="s">
        <v>283</v>
      </c>
      <c r="I29" s="273" t="s">
        <v>3296</v>
      </c>
      <c r="J29" s="273" t="str">
        <f>VLOOKUP(Tabla132[[#This Row],[Código INDRA]],Tabla13[[Código Indra]:[ID2]],8,FALSE)</f>
        <v>adalvarezm</v>
      </c>
      <c r="K29" s="328" t="s">
        <v>1436</v>
      </c>
      <c r="L29" s="275" t="s">
        <v>1612</v>
      </c>
      <c r="M29" s="273" t="s">
        <v>1613</v>
      </c>
      <c r="N29" s="273"/>
      <c r="O29" s="385" t="s">
        <v>6</v>
      </c>
      <c r="P29" s="385" t="s">
        <v>1451</v>
      </c>
      <c r="Q29" s="365"/>
      <c r="R29" s="365"/>
      <c r="S29" s="365"/>
      <c r="T29" s="365"/>
      <c r="U29" s="365"/>
      <c r="V29" s="365"/>
    </row>
    <row r="30" spans="1:22" ht="43.5" hidden="1" x14ac:dyDescent="0.25">
      <c r="A30" s="365"/>
      <c r="B30" s="365"/>
      <c r="C30" s="273">
        <v>23</v>
      </c>
      <c r="D30" s="392">
        <f>VLOOKUP(Tabla132[[#This Row],[Código INDRA]],Tabla13[[Código Indra]:[ID2]],24,FALSE)</f>
        <v>18</v>
      </c>
      <c r="E30" s="273"/>
      <c r="F30" s="393">
        <v>45565</v>
      </c>
      <c r="G30" s="273" t="s">
        <v>282</v>
      </c>
      <c r="H30" s="275" t="s">
        <v>283</v>
      </c>
      <c r="I30" s="273" t="s">
        <v>3296</v>
      </c>
      <c r="J30" s="273" t="str">
        <f>VLOOKUP(Tabla132[[#This Row],[Código INDRA]],Tabla13[[Código Indra]:[ID2]],8,FALSE)</f>
        <v>adalvarezm</v>
      </c>
      <c r="K30" s="273" t="s">
        <v>1436</v>
      </c>
      <c r="L30" s="275" t="s">
        <v>1614</v>
      </c>
      <c r="M30" s="328" t="s">
        <v>1613</v>
      </c>
      <c r="N30" s="328"/>
      <c r="O30" s="328" t="s">
        <v>6</v>
      </c>
      <c r="P30" s="328" t="s">
        <v>1451</v>
      </c>
      <c r="Q30" s="365"/>
      <c r="R30" s="365"/>
      <c r="S30" s="365"/>
      <c r="T30" s="365"/>
      <c r="U30" s="365"/>
      <c r="V30" s="365"/>
    </row>
    <row r="31" spans="1:22" ht="65.25" hidden="1" x14ac:dyDescent="0.25">
      <c r="A31" s="365"/>
      <c r="B31" s="365"/>
      <c r="C31" s="273">
        <v>24</v>
      </c>
      <c r="D31" s="392">
        <f>VLOOKUP(Tabla132[[#This Row],[Código INDRA]],Tabla13[[Código Indra]:[ID2]],24,FALSE)</f>
        <v>19</v>
      </c>
      <c r="E31" s="394"/>
      <c r="F31" s="393">
        <v>45566</v>
      </c>
      <c r="G31" s="273" t="s">
        <v>130</v>
      </c>
      <c r="H31" s="275" t="s">
        <v>131</v>
      </c>
      <c r="I31" s="273" t="s">
        <v>3289</v>
      </c>
      <c r="J31" s="273" t="str">
        <f>VLOOKUP(Tabla132[[#This Row],[Código INDRA]],Tabla13[[Código Indra]:[ID2]],8,FALSE)</f>
        <v>adalvarezm</v>
      </c>
      <c r="K31" s="328" t="s">
        <v>1436</v>
      </c>
      <c r="L31" s="275" t="s">
        <v>1616</v>
      </c>
      <c r="M31" s="273" t="s">
        <v>1588</v>
      </c>
      <c r="N31" s="273"/>
      <c r="O31" s="385" t="s">
        <v>1451</v>
      </c>
      <c r="P31" s="385" t="s">
        <v>3297</v>
      </c>
      <c r="Q31" s="365"/>
      <c r="R31" s="365"/>
      <c r="S31" s="365"/>
      <c r="T31" s="365"/>
      <c r="U31" s="365"/>
      <c r="V31" s="365"/>
    </row>
    <row r="32" spans="1:22" ht="87" hidden="1" x14ac:dyDescent="0.25">
      <c r="A32" s="365"/>
      <c r="B32" s="365"/>
      <c r="C32" s="273">
        <v>25</v>
      </c>
      <c r="D32" s="392">
        <f>VLOOKUP(Tabla132[[#This Row],[Código INDRA]],Tabla13[[Código Indra]:[ID2]],24,FALSE)</f>
        <v>20</v>
      </c>
      <c r="E32" s="273"/>
      <c r="F32" s="393">
        <v>45636</v>
      </c>
      <c r="G32" s="273" t="s">
        <v>286</v>
      </c>
      <c r="H32" s="275" t="s">
        <v>1617</v>
      </c>
      <c r="I32" s="273" t="s">
        <v>3298</v>
      </c>
      <c r="J32" s="273" t="str">
        <f>VLOOKUP(Tabla132[[#This Row],[Código INDRA]],Tabla13[[Código Indra]:[ID2]],8,FALSE)</f>
        <v>adalvarezm</v>
      </c>
      <c r="K32" s="273" t="s">
        <v>1436</v>
      </c>
      <c r="L32" s="275" t="s">
        <v>1618</v>
      </c>
      <c r="M32" s="328" t="s">
        <v>1619</v>
      </c>
      <c r="N32" s="328">
        <v>45594</v>
      </c>
      <c r="O32" s="328" t="s">
        <v>1451</v>
      </c>
      <c r="P32" s="328" t="s">
        <v>3293</v>
      </c>
      <c r="Q32" s="365"/>
      <c r="R32" s="365"/>
      <c r="S32" s="365"/>
      <c r="T32" s="365"/>
      <c r="U32" s="365"/>
      <c r="V32" s="365"/>
    </row>
    <row r="33" spans="1:22" ht="87" hidden="1" x14ac:dyDescent="0.25">
      <c r="A33" s="365"/>
      <c r="B33" s="365"/>
      <c r="C33" s="273">
        <v>26</v>
      </c>
      <c r="D33" s="392">
        <f>VLOOKUP(Tabla132[[#This Row],[Código INDRA]],Tabla13[[Código Indra]:[ID2]],24,FALSE)</f>
        <v>21</v>
      </c>
      <c r="E33" s="394"/>
      <c r="F33" s="393">
        <v>45572</v>
      </c>
      <c r="G33" s="273" t="s">
        <v>290</v>
      </c>
      <c r="H33" s="275" t="s">
        <v>1620</v>
      </c>
      <c r="I33" s="273" t="s">
        <v>3298</v>
      </c>
      <c r="J33" s="273" t="str">
        <f>VLOOKUP(Tabla132[[#This Row],[Código INDRA]],Tabla13[[Código Indra]:[ID2]],8,FALSE)</f>
        <v>adalvarezm</v>
      </c>
      <c r="K33" s="328" t="s">
        <v>1436</v>
      </c>
      <c r="L33" s="275" t="s">
        <v>1621</v>
      </c>
      <c r="M33" s="273" t="s">
        <v>1622</v>
      </c>
      <c r="N33" s="273">
        <v>45636</v>
      </c>
      <c r="O33" s="385" t="s">
        <v>1451</v>
      </c>
      <c r="P33" s="385" t="s">
        <v>3293</v>
      </c>
      <c r="Q33" s="365"/>
      <c r="R33" s="365"/>
      <c r="S33" s="365"/>
      <c r="T33" s="365"/>
      <c r="U33" s="365"/>
      <c r="V33" s="365"/>
    </row>
    <row r="34" spans="1:22" ht="108.75" hidden="1" x14ac:dyDescent="0.25">
      <c r="A34" s="365"/>
      <c r="B34" s="365"/>
      <c r="C34" s="273">
        <v>27</v>
      </c>
      <c r="D34" s="392">
        <f>VLOOKUP(Tabla132[[#This Row],[Código INDRA]],Tabla13[[Código Indra]:[ID2]],24,FALSE)</f>
        <v>22</v>
      </c>
      <c r="E34" s="273"/>
      <c r="F34" s="393">
        <v>45568</v>
      </c>
      <c r="G34" s="273" t="s">
        <v>294</v>
      </c>
      <c r="H34" s="275" t="s">
        <v>295</v>
      </c>
      <c r="I34" s="273" t="s">
        <v>3296</v>
      </c>
      <c r="J34" s="273" t="str">
        <f>VLOOKUP(Tabla132[[#This Row],[Código INDRA]],Tabla13[[Código Indra]:[ID2]],8,FALSE)</f>
        <v>adalvarezm</v>
      </c>
      <c r="K34" s="273" t="s">
        <v>1436</v>
      </c>
      <c r="L34" s="275" t="s">
        <v>1623</v>
      </c>
      <c r="M34" s="328" t="s">
        <v>1624</v>
      </c>
      <c r="N34" s="328"/>
      <c r="O34" s="328" t="s">
        <v>6</v>
      </c>
      <c r="P34" s="328" t="s">
        <v>1451</v>
      </c>
      <c r="Q34" s="365"/>
      <c r="R34" s="365"/>
      <c r="S34" s="365"/>
      <c r="T34" s="365"/>
      <c r="U34" s="365"/>
      <c r="V34" s="365"/>
    </row>
    <row r="35" spans="1:22" ht="65.25" hidden="1" x14ac:dyDescent="0.25">
      <c r="A35" s="365"/>
      <c r="B35" s="365"/>
      <c r="C35" s="273">
        <v>28</v>
      </c>
      <c r="D35" s="392">
        <f>VLOOKUP(Tabla132[[#This Row],[Código INDRA]],Tabla13[[Código Indra]:[ID2]],24,FALSE)</f>
        <v>23</v>
      </c>
      <c r="E35" s="394"/>
      <c r="F35" s="393">
        <v>45565</v>
      </c>
      <c r="G35" s="273" t="s">
        <v>297</v>
      </c>
      <c r="H35" s="275" t="s">
        <v>298</v>
      </c>
      <c r="I35" s="273" t="s">
        <v>3296</v>
      </c>
      <c r="J35" s="273" t="str">
        <f>VLOOKUP(Tabla132[[#This Row],[Código INDRA]],Tabla13[[Código Indra]:[ID2]],8,FALSE)</f>
        <v>adalvarezm</v>
      </c>
      <c r="K35" s="328" t="s">
        <v>1436</v>
      </c>
      <c r="L35" s="275" t="s">
        <v>1625</v>
      </c>
      <c r="M35" s="273" t="s">
        <v>1626</v>
      </c>
      <c r="N35" s="273">
        <v>45677</v>
      </c>
      <c r="O35" s="385"/>
      <c r="P35" s="385"/>
      <c r="Q35" s="365"/>
      <c r="R35" s="365"/>
      <c r="S35" s="365"/>
      <c r="T35" s="365"/>
      <c r="U35" s="365"/>
      <c r="V35" s="365"/>
    </row>
    <row r="36" spans="1:22" ht="43.5" hidden="1" x14ac:dyDescent="0.25">
      <c r="A36" s="365"/>
      <c r="B36" s="365"/>
      <c r="C36" s="273">
        <v>29</v>
      </c>
      <c r="D36" s="392">
        <f>VLOOKUP(Tabla132[[#This Row],[Código INDRA]],Tabla13[[Código Indra]:[ID2]],24,FALSE)</f>
        <v>24</v>
      </c>
      <c r="E36" s="273"/>
      <c r="F36" s="393">
        <v>45561</v>
      </c>
      <c r="G36" s="273" t="s">
        <v>301</v>
      </c>
      <c r="H36" s="275" t="s">
        <v>302</v>
      </c>
      <c r="I36" s="273" t="s">
        <v>3296</v>
      </c>
      <c r="J36" s="273" t="str">
        <f>VLOOKUP(Tabla132[[#This Row],[Código INDRA]],Tabla13[[Código Indra]:[ID2]],8,FALSE)</f>
        <v>adalvarezm</v>
      </c>
      <c r="K36" s="273" t="s">
        <v>1436</v>
      </c>
      <c r="L36" s="275" t="s">
        <v>1627</v>
      </c>
      <c r="M36" s="328" t="s">
        <v>1628</v>
      </c>
      <c r="N36" s="328"/>
      <c r="O36" s="328" t="s">
        <v>6</v>
      </c>
      <c r="P36" s="328" t="s">
        <v>1451</v>
      </c>
      <c r="Q36" s="365"/>
      <c r="R36" s="365"/>
      <c r="S36" s="365"/>
      <c r="T36" s="365"/>
      <c r="U36" s="365"/>
      <c r="V36" s="365"/>
    </row>
    <row r="37" spans="1:22" ht="108.75" hidden="1" x14ac:dyDescent="0.25">
      <c r="A37" s="365"/>
      <c r="B37" s="365"/>
      <c r="C37" s="273">
        <v>30</v>
      </c>
      <c r="D37" s="392">
        <f>VLOOKUP(Tabla132[[#This Row],[Código INDRA]],Tabla13[[Código Indra]:[ID2]],24,FALSE)</f>
        <v>25</v>
      </c>
      <c r="E37" s="394"/>
      <c r="F37" s="393">
        <v>45574</v>
      </c>
      <c r="G37" s="273" t="s">
        <v>305</v>
      </c>
      <c r="H37" s="275" t="s">
        <v>306</v>
      </c>
      <c r="I37" s="273" t="s">
        <v>3299</v>
      </c>
      <c r="J37" s="273" t="str">
        <f>VLOOKUP(Tabla132[[#This Row],[Código INDRA]],Tabla13[[Código Indra]:[ID2]],8,FALSE)</f>
        <v>adalvarezm</v>
      </c>
      <c r="K37" s="328" t="s">
        <v>1436</v>
      </c>
      <c r="L37" s="275" t="s">
        <v>1629</v>
      </c>
      <c r="M37" s="273" t="s">
        <v>1630</v>
      </c>
      <c r="N37" s="273">
        <v>45678</v>
      </c>
      <c r="O37" s="385" t="s">
        <v>6</v>
      </c>
      <c r="P37" s="385" t="s">
        <v>1451</v>
      </c>
      <c r="Q37" s="365"/>
      <c r="R37" s="365"/>
      <c r="S37" s="365"/>
      <c r="T37" s="365"/>
      <c r="U37" s="365"/>
      <c r="V37" s="365"/>
    </row>
    <row r="38" spans="1:22" ht="43.5" x14ac:dyDescent="0.25">
      <c r="A38" s="365"/>
      <c r="B38" s="365"/>
      <c r="C38" s="273">
        <v>31</v>
      </c>
      <c r="D38" s="392">
        <f>VLOOKUP(Tabla132[[#This Row],[Código INDRA]],Tabla13[[Código Indra]:[ID2]],24,FALSE)</f>
        <v>26</v>
      </c>
      <c r="E38" s="273"/>
      <c r="F38" s="393">
        <v>45671</v>
      </c>
      <c r="G38" s="273" t="s">
        <v>1438</v>
      </c>
      <c r="H38" s="275" t="s">
        <v>1439</v>
      </c>
      <c r="I38" s="273" t="s">
        <v>3300</v>
      </c>
      <c r="J38" s="273" t="str">
        <f>VLOOKUP(Tabla132[[#This Row],[Código INDRA]],Tabla13[[Código Indra]:[ID2]],8,FALSE)</f>
        <v>mmvicente</v>
      </c>
      <c r="K38" s="273"/>
      <c r="L38" s="275" t="s">
        <v>3301</v>
      </c>
      <c r="M38" s="408" t="s">
        <v>1838</v>
      </c>
      <c r="N38" s="328"/>
      <c r="O38" s="328"/>
      <c r="P38" s="328"/>
      <c r="Q38" s="365"/>
      <c r="R38" s="365"/>
      <c r="S38" s="365"/>
      <c r="T38" s="365"/>
      <c r="U38" s="365"/>
      <c r="V38" s="365"/>
    </row>
    <row r="39" spans="1:22" ht="65.25" hidden="1" x14ac:dyDescent="0.25">
      <c r="A39" s="365"/>
      <c r="B39" s="365"/>
      <c r="C39" s="273">
        <v>32</v>
      </c>
      <c r="D39" s="392">
        <f>VLOOKUP(Tabla132[[#This Row],[Código INDRA]],Tabla13[[Código Indra]:[ID2]],24,FALSE)</f>
        <v>28</v>
      </c>
      <c r="E39" s="394"/>
      <c r="F39" s="393">
        <v>45588</v>
      </c>
      <c r="G39" s="273" t="s">
        <v>309</v>
      </c>
      <c r="H39" s="275" t="s">
        <v>310</v>
      </c>
      <c r="I39" s="273" t="s">
        <v>3296</v>
      </c>
      <c r="J39" s="273" t="str">
        <f>VLOOKUP(Tabla132[[#This Row],[Código INDRA]],Tabla13[[Código Indra]:[ID2]],8,FALSE)</f>
        <v>adalvarezm</v>
      </c>
      <c r="K39" s="328" t="s">
        <v>1436</v>
      </c>
      <c r="L39" s="275" t="s">
        <v>1632</v>
      </c>
      <c r="M39" s="273" t="s">
        <v>1633</v>
      </c>
      <c r="N39" s="273"/>
      <c r="O39" s="385" t="s">
        <v>1451</v>
      </c>
      <c r="P39" s="385" t="s">
        <v>3293</v>
      </c>
      <c r="Q39" s="365"/>
      <c r="R39" s="365"/>
      <c r="S39" s="365"/>
      <c r="T39" s="365"/>
      <c r="U39" s="365"/>
      <c r="V39" s="365"/>
    </row>
    <row r="40" spans="1:22" ht="65.25" hidden="1" x14ac:dyDescent="0.25">
      <c r="A40" s="365"/>
      <c r="B40" s="365"/>
      <c r="C40" s="273">
        <v>33</v>
      </c>
      <c r="D40" s="392">
        <f>VLOOKUP(Tabla132[[#This Row],[Código INDRA]],Tabla13[[Código Indra]:[ID2]],24,FALSE)</f>
        <v>29</v>
      </c>
      <c r="E40" s="273"/>
      <c r="F40" s="393">
        <v>45610</v>
      </c>
      <c r="G40" s="273" t="s">
        <v>313</v>
      </c>
      <c r="H40" s="275" t="s">
        <v>314</v>
      </c>
      <c r="I40" s="273" t="s">
        <v>3296</v>
      </c>
      <c r="J40" s="273" t="str">
        <f>VLOOKUP(Tabla132[[#This Row],[Código INDRA]],Tabla13[[Código Indra]:[ID2]],8,FALSE)</f>
        <v>adalvarezm</v>
      </c>
      <c r="K40" s="273" t="s">
        <v>1436</v>
      </c>
      <c r="L40" s="275" t="s">
        <v>1632</v>
      </c>
      <c r="M40" s="328" t="s">
        <v>1634</v>
      </c>
      <c r="N40" s="328"/>
      <c r="O40" s="328" t="s">
        <v>1451</v>
      </c>
      <c r="P40" s="328" t="s">
        <v>3293</v>
      </c>
      <c r="Q40" s="365"/>
      <c r="R40" s="365"/>
      <c r="S40" s="365"/>
      <c r="T40" s="365"/>
      <c r="U40" s="365"/>
      <c r="V40" s="365"/>
    </row>
    <row r="41" spans="1:22" ht="108.75" hidden="1" x14ac:dyDescent="0.25">
      <c r="A41" s="365"/>
      <c r="B41" s="365"/>
      <c r="C41" s="273">
        <v>34</v>
      </c>
      <c r="D41" s="392">
        <f>VLOOKUP(Tabla132[[#This Row],[Código INDRA]],Tabla13[[Código Indra]:[ID2]],24,FALSE)</f>
        <v>30</v>
      </c>
      <c r="E41" s="394"/>
      <c r="F41" s="393">
        <v>45672</v>
      </c>
      <c r="G41" s="273" t="s">
        <v>138</v>
      </c>
      <c r="H41" s="275" t="s">
        <v>139</v>
      </c>
      <c r="I41" s="273" t="s">
        <v>3302</v>
      </c>
      <c r="J41" s="273" t="str">
        <f>VLOOKUP(Tabla132[[#This Row],[Código INDRA]],Tabla13[[Código Indra]:[ID2]],8,FALSE)</f>
        <v>mgomez</v>
      </c>
      <c r="K41" s="328" t="s">
        <v>1436</v>
      </c>
      <c r="L41" s="275" t="s">
        <v>1636</v>
      </c>
      <c r="M41" s="273" t="s">
        <v>1635</v>
      </c>
      <c r="N41" s="273"/>
      <c r="O41" s="385" t="s">
        <v>1451</v>
      </c>
      <c r="P41" s="385" t="s">
        <v>3293</v>
      </c>
      <c r="Q41" s="365"/>
      <c r="R41" s="365"/>
      <c r="S41" s="365"/>
      <c r="T41" s="365"/>
      <c r="U41" s="365"/>
      <c r="V41" s="365"/>
    </row>
    <row r="42" spans="1:22" ht="174" hidden="1" x14ac:dyDescent="0.25">
      <c r="A42" s="365"/>
      <c r="B42" s="365"/>
      <c r="C42" s="273">
        <v>35</v>
      </c>
      <c r="D42" s="392">
        <f>VLOOKUP(Tabla132[[#This Row],[Código INDRA]],Tabla13[[Código Indra]:[ID2]],24,FALSE)</f>
        <v>31</v>
      </c>
      <c r="E42" s="273"/>
      <c r="F42" s="393">
        <v>45554</v>
      </c>
      <c r="G42" s="273" t="s">
        <v>317</v>
      </c>
      <c r="H42" s="275" t="s">
        <v>318</v>
      </c>
      <c r="I42" s="273" t="s">
        <v>3296</v>
      </c>
      <c r="J42" s="273">
        <f>VLOOKUP(Tabla132[[#This Row],[Código INDRA]],Tabla13[[Código Indra]:[ID2]],8,FALSE)</f>
        <v>0</v>
      </c>
      <c r="K42" s="273" t="s">
        <v>1436</v>
      </c>
      <c r="L42" s="275" t="s">
        <v>1637</v>
      </c>
      <c r="M42" s="328" t="s">
        <v>1638</v>
      </c>
      <c r="N42" s="328"/>
      <c r="O42" s="328" t="s">
        <v>6</v>
      </c>
      <c r="P42" s="328" t="s">
        <v>1451</v>
      </c>
      <c r="Q42" s="365"/>
      <c r="R42" s="365"/>
      <c r="S42" s="365"/>
      <c r="T42" s="365"/>
      <c r="U42" s="365"/>
      <c r="V42" s="365"/>
    </row>
    <row r="43" spans="1:22" ht="130.5" hidden="1" x14ac:dyDescent="0.25">
      <c r="A43" s="365"/>
      <c r="B43" s="365"/>
      <c r="C43" s="273">
        <v>36</v>
      </c>
      <c r="D43" s="392">
        <f>VLOOKUP(Tabla132[[#This Row],[Código INDRA]],Tabla13[[Código Indra]:[ID2]],24,FALSE)</f>
        <v>33</v>
      </c>
      <c r="E43" s="394"/>
      <c r="F43" s="393">
        <v>45559</v>
      </c>
      <c r="G43" s="273" t="s">
        <v>323</v>
      </c>
      <c r="H43" s="275" t="s">
        <v>1639</v>
      </c>
      <c r="I43" s="273" t="s">
        <v>3296</v>
      </c>
      <c r="J43" s="273" t="str">
        <f>VLOOKUP(Tabla132[[#This Row],[Código INDRA]],Tabla13[[Código Indra]:[ID2]],8,FALSE)</f>
        <v>mgomez</v>
      </c>
      <c r="K43" s="328" t="s">
        <v>1436</v>
      </c>
      <c r="L43" s="275" t="s">
        <v>1640</v>
      </c>
      <c r="M43" s="273" t="s">
        <v>1641</v>
      </c>
      <c r="N43" s="273"/>
      <c r="O43" s="385" t="s">
        <v>1451</v>
      </c>
      <c r="P43" s="385" t="s">
        <v>3293</v>
      </c>
      <c r="Q43" s="365"/>
      <c r="R43" s="365"/>
      <c r="S43" s="365"/>
      <c r="T43" s="365"/>
      <c r="U43" s="365"/>
      <c r="V43" s="365"/>
    </row>
    <row r="44" spans="1:22" ht="65.25" hidden="1" x14ac:dyDescent="0.25">
      <c r="A44" s="365"/>
      <c r="B44" s="365"/>
      <c r="C44" s="273">
        <v>37</v>
      </c>
      <c r="D44" s="392">
        <f>VLOOKUP(Tabla132[[#This Row],[Código INDRA]],Tabla13[[Código Indra]:[ID2]],24,FALSE)</f>
        <v>34</v>
      </c>
      <c r="E44" s="273"/>
      <c r="F44" s="393">
        <v>45601</v>
      </c>
      <c r="G44" s="273" t="s">
        <v>327</v>
      </c>
      <c r="H44" s="275" t="s">
        <v>328</v>
      </c>
      <c r="I44" s="273" t="s">
        <v>3296</v>
      </c>
      <c r="J44" s="273" t="str">
        <f>VLOOKUP(Tabla132[[#This Row],[Código INDRA]],Tabla13[[Código Indra]:[ID2]],8,FALSE)</f>
        <v>mgomez</v>
      </c>
      <c r="K44" s="273" t="s">
        <v>1436</v>
      </c>
      <c r="L44" s="275" t="s">
        <v>1642</v>
      </c>
      <c r="M44" s="328" t="s">
        <v>1643</v>
      </c>
      <c r="N44" s="328"/>
      <c r="O44" s="328" t="s">
        <v>6</v>
      </c>
      <c r="P44" s="328" t="s">
        <v>1451</v>
      </c>
      <c r="Q44" s="365"/>
      <c r="R44" s="365"/>
      <c r="S44" s="365"/>
      <c r="T44" s="365"/>
      <c r="U44" s="365"/>
      <c r="V44" s="365"/>
    </row>
    <row r="45" spans="1:22" ht="87" hidden="1" x14ac:dyDescent="0.25">
      <c r="A45" s="365"/>
      <c r="B45" s="365"/>
      <c r="C45" s="273">
        <v>38</v>
      </c>
      <c r="D45" s="392">
        <f>VLOOKUP(Tabla132[[#This Row],[Código INDRA]],Tabla13[[Código Indra]:[ID2]],24,FALSE)</f>
        <v>35</v>
      </c>
      <c r="E45" s="394"/>
      <c r="F45" s="393">
        <v>45601</v>
      </c>
      <c r="G45" s="273" t="s">
        <v>331</v>
      </c>
      <c r="H45" s="275" t="s">
        <v>332</v>
      </c>
      <c r="I45" s="273" t="s">
        <v>3296</v>
      </c>
      <c r="J45" s="273" t="str">
        <f>VLOOKUP(Tabla132[[#This Row],[Código INDRA]],Tabla13[[Código Indra]:[ID2]],8,FALSE)</f>
        <v>mgomez</v>
      </c>
      <c r="K45" s="328" t="s">
        <v>1436</v>
      </c>
      <c r="L45" s="275" t="s">
        <v>1644</v>
      </c>
      <c r="M45" s="273" t="s">
        <v>1645</v>
      </c>
      <c r="N45" s="273"/>
      <c r="O45" s="385" t="s">
        <v>3293</v>
      </c>
      <c r="P45" s="385" t="s">
        <v>3297</v>
      </c>
      <c r="Q45" s="365"/>
      <c r="R45" s="365"/>
      <c r="S45" s="365"/>
      <c r="T45" s="365"/>
      <c r="U45" s="365"/>
      <c r="V45" s="365"/>
    </row>
    <row r="46" spans="1:22" ht="174" hidden="1" x14ac:dyDescent="0.25">
      <c r="A46" s="365"/>
      <c r="B46" s="365"/>
      <c r="C46" s="273">
        <v>39</v>
      </c>
      <c r="D46" s="392">
        <f>VLOOKUP(Tabla132[[#This Row],[Código INDRA]],Tabla13[[Código Indra]:[ID2]],24,FALSE)</f>
        <v>36</v>
      </c>
      <c r="E46" s="273"/>
      <c r="F46" s="393">
        <v>45554</v>
      </c>
      <c r="G46" s="273" t="s">
        <v>334</v>
      </c>
      <c r="H46" s="275" t="s">
        <v>1646</v>
      </c>
      <c r="I46" s="273" t="s">
        <v>3296</v>
      </c>
      <c r="J46" s="273" t="str">
        <f>VLOOKUP(Tabla132[[#This Row],[Código INDRA]],Tabla13[[Código Indra]:[ID2]],8,FALSE)</f>
        <v>mgomez</v>
      </c>
      <c r="K46" s="273" t="s">
        <v>1436</v>
      </c>
      <c r="L46" s="275" t="s">
        <v>1647</v>
      </c>
      <c r="M46" s="328" t="s">
        <v>1648</v>
      </c>
      <c r="N46" s="328"/>
      <c r="O46" s="328" t="s">
        <v>6</v>
      </c>
      <c r="P46" s="328" t="s">
        <v>3293</v>
      </c>
      <c r="Q46" s="365"/>
      <c r="R46" s="365"/>
      <c r="S46" s="365"/>
      <c r="T46" s="365"/>
      <c r="U46" s="365"/>
      <c r="V46" s="365"/>
    </row>
    <row r="47" spans="1:22" ht="87" hidden="1" x14ac:dyDescent="0.25">
      <c r="A47" s="365"/>
      <c r="B47" s="365"/>
      <c r="C47" s="273">
        <v>40</v>
      </c>
      <c r="D47" s="392">
        <f>VLOOKUP(Tabla132[[#This Row],[Código INDRA]],Tabla13[[Código Indra]:[ID2]],24,FALSE)</f>
        <v>37</v>
      </c>
      <c r="E47" s="394"/>
      <c r="F47" s="393">
        <v>45610</v>
      </c>
      <c r="G47" s="273" t="s">
        <v>338</v>
      </c>
      <c r="H47" s="275" t="s">
        <v>1649</v>
      </c>
      <c r="I47" s="273" t="s">
        <v>3298</v>
      </c>
      <c r="J47" s="273" t="str">
        <f>VLOOKUP(Tabla132[[#This Row],[Código INDRA]],Tabla13[[Código Indra]:[ID2]],8,FALSE)</f>
        <v>mgomez</v>
      </c>
      <c r="K47" s="328" t="s">
        <v>1436</v>
      </c>
      <c r="L47" s="275" t="s">
        <v>1650</v>
      </c>
      <c r="M47" s="273" t="s">
        <v>1651</v>
      </c>
      <c r="N47" s="273"/>
      <c r="O47" s="385" t="s">
        <v>1451</v>
      </c>
      <c r="P47" s="385" t="s">
        <v>3293</v>
      </c>
      <c r="Q47" s="365"/>
      <c r="R47" s="365"/>
      <c r="S47" s="365"/>
      <c r="T47" s="365"/>
      <c r="U47" s="365"/>
      <c r="V47" s="365"/>
    </row>
    <row r="48" spans="1:22" ht="65.25" hidden="1" x14ac:dyDescent="0.25">
      <c r="A48" s="365"/>
      <c r="B48" s="365"/>
      <c r="C48" s="273">
        <v>41</v>
      </c>
      <c r="D48" s="392">
        <f>VLOOKUP(Tabla132[[#This Row],[Código INDRA]],Tabla13[[Código Indra]:[ID2]],24,FALSE)</f>
        <v>38</v>
      </c>
      <c r="E48" s="273"/>
      <c r="F48" s="393">
        <v>45601</v>
      </c>
      <c r="G48" s="273" t="s">
        <v>342</v>
      </c>
      <c r="H48" s="275" t="s">
        <v>343</v>
      </c>
      <c r="I48" s="273" t="s">
        <v>3296</v>
      </c>
      <c r="J48" s="273" t="str">
        <f>VLOOKUP(Tabla132[[#This Row],[Código INDRA]],Tabla13[[Código Indra]:[ID2]],8,FALSE)</f>
        <v>mgomez</v>
      </c>
      <c r="K48" s="273" t="s">
        <v>1436</v>
      </c>
      <c r="L48" s="275" t="s">
        <v>1652</v>
      </c>
      <c r="M48" s="328" t="s">
        <v>1653</v>
      </c>
      <c r="N48" s="328"/>
      <c r="O48" s="328" t="s">
        <v>6</v>
      </c>
      <c r="P48" s="328" t="s">
        <v>1451</v>
      </c>
      <c r="Q48" s="365"/>
      <c r="R48" s="365"/>
      <c r="S48" s="365"/>
      <c r="T48" s="365"/>
      <c r="U48" s="365"/>
      <c r="V48" s="365"/>
    </row>
    <row r="49" spans="1:22" ht="108.75" hidden="1" x14ac:dyDescent="0.25">
      <c r="A49" s="365"/>
      <c r="B49" s="365"/>
      <c r="C49" s="273">
        <v>42</v>
      </c>
      <c r="D49" s="392">
        <f>VLOOKUP(Tabla132[[#This Row],[Código INDRA]],Tabla13[[Código Indra]:[ID2]],24,FALSE)</f>
        <v>39</v>
      </c>
      <c r="E49" s="394"/>
      <c r="F49" s="393">
        <v>45590</v>
      </c>
      <c r="G49" s="273" t="s">
        <v>346</v>
      </c>
      <c r="H49" s="275" t="s">
        <v>347</v>
      </c>
      <c r="I49" s="273" t="s">
        <v>3296</v>
      </c>
      <c r="J49" s="273" t="str">
        <f>VLOOKUP(Tabla132[[#This Row],[Código INDRA]],Tabla13[[Código Indra]:[ID2]],8,FALSE)</f>
        <v>mgomez</v>
      </c>
      <c r="K49" s="328" t="s">
        <v>1436</v>
      </c>
      <c r="L49" s="275" t="s">
        <v>1654</v>
      </c>
      <c r="M49" s="273" t="s">
        <v>1655</v>
      </c>
      <c r="N49" s="273"/>
      <c r="O49" s="385" t="s">
        <v>6</v>
      </c>
      <c r="P49" s="385" t="s">
        <v>1451</v>
      </c>
      <c r="Q49" s="365"/>
      <c r="R49" s="365"/>
      <c r="S49" s="365"/>
      <c r="T49" s="365"/>
      <c r="U49" s="365"/>
      <c r="V49" s="365"/>
    </row>
    <row r="50" spans="1:22" ht="108.75" hidden="1" x14ac:dyDescent="0.25">
      <c r="A50" s="365"/>
      <c r="B50" s="365"/>
      <c r="C50" s="273">
        <v>43</v>
      </c>
      <c r="D50" s="392">
        <f>VLOOKUP(Tabla132[[#This Row],[Código INDRA]],Tabla13[[Código Indra]:[ID2]],24,FALSE)</f>
        <v>40</v>
      </c>
      <c r="E50" s="273"/>
      <c r="F50" s="393">
        <v>45559</v>
      </c>
      <c r="G50" s="273" t="s">
        <v>350</v>
      </c>
      <c r="H50" s="275" t="s">
        <v>1656</v>
      </c>
      <c r="I50" s="273" t="s">
        <v>3296</v>
      </c>
      <c r="J50" s="273" t="str">
        <f>VLOOKUP(Tabla132[[#This Row],[Código INDRA]],Tabla13[[Código Indra]:[ID2]],8,FALSE)</f>
        <v>mgomez</v>
      </c>
      <c r="K50" s="273" t="s">
        <v>1436</v>
      </c>
      <c r="L50" s="275" t="s">
        <v>1657</v>
      </c>
      <c r="M50" s="328" t="s">
        <v>1658</v>
      </c>
      <c r="N50" s="328"/>
      <c r="O50" s="328" t="s">
        <v>6</v>
      </c>
      <c r="P50" s="328" t="s">
        <v>1451</v>
      </c>
      <c r="Q50" s="365"/>
      <c r="R50" s="365"/>
      <c r="S50" s="365"/>
      <c r="T50" s="365"/>
      <c r="U50" s="365"/>
      <c r="V50" s="365"/>
    </row>
    <row r="51" spans="1:22" ht="108.75" hidden="1" x14ac:dyDescent="0.25">
      <c r="A51" s="365"/>
      <c r="B51" s="365"/>
      <c r="C51" s="273">
        <v>44</v>
      </c>
      <c r="D51" s="392">
        <f>VLOOKUP(Tabla132[[#This Row],[Código INDRA]],Tabla13[[Código Indra]:[ID2]],24,FALSE)</f>
        <v>41</v>
      </c>
      <c r="E51" s="394"/>
      <c r="F51" s="393">
        <v>45566</v>
      </c>
      <c r="G51" s="273" t="s">
        <v>354</v>
      </c>
      <c r="H51" s="275" t="s">
        <v>355</v>
      </c>
      <c r="I51" s="273" t="s">
        <v>3303</v>
      </c>
      <c r="J51" s="273" t="str">
        <f>VLOOKUP(Tabla132[[#This Row],[Código INDRA]],Tabla13[[Código Indra]:[ID2]],8,FALSE)</f>
        <v>adalvarezm</v>
      </c>
      <c r="K51" s="328" t="s">
        <v>1436</v>
      </c>
      <c r="L51" s="275" t="s">
        <v>1659</v>
      </c>
      <c r="M51" s="273" t="s">
        <v>1660</v>
      </c>
      <c r="N51" s="273"/>
      <c r="O51" s="385" t="s">
        <v>6</v>
      </c>
      <c r="P51" s="385" t="s">
        <v>1451</v>
      </c>
      <c r="Q51" s="365"/>
      <c r="R51" s="365"/>
      <c r="S51" s="365"/>
      <c r="T51" s="365"/>
      <c r="U51" s="365"/>
      <c r="V51" s="365"/>
    </row>
    <row r="52" spans="1:22" ht="43.5" x14ac:dyDescent="0.25">
      <c r="A52" s="365"/>
      <c r="B52" s="365"/>
      <c r="C52" s="273">
        <v>45</v>
      </c>
      <c r="D52" s="392">
        <f>VLOOKUP(Tabla132[[#This Row],[Código INDRA]],Tabla13[[Código Indra]:[ID2]],24,FALSE)</f>
        <v>42</v>
      </c>
      <c r="E52" s="273"/>
      <c r="F52" s="393"/>
      <c r="G52" s="273" t="s">
        <v>358</v>
      </c>
      <c r="H52" s="275" t="s">
        <v>359</v>
      </c>
      <c r="I52" s="273"/>
      <c r="J52" s="273" t="str">
        <f>VLOOKUP(Tabla132[[#This Row],[Código INDRA]],Tabla13[[Código Indra]:[ID2]],8,FALSE)</f>
        <v>mgomez</v>
      </c>
      <c r="K52" s="273"/>
      <c r="L52" s="275" t="s">
        <v>1661</v>
      </c>
      <c r="M52" s="328"/>
      <c r="N52" s="328"/>
      <c r="O52" s="328" t="s">
        <v>6</v>
      </c>
      <c r="P52" s="328" t="s">
        <v>1451</v>
      </c>
      <c r="Q52" s="365"/>
      <c r="R52" s="365"/>
      <c r="S52" s="365"/>
      <c r="T52" s="365"/>
      <c r="U52" s="365"/>
      <c r="V52" s="365"/>
    </row>
    <row r="53" spans="1:22" ht="43.5" hidden="1" x14ac:dyDescent="0.25">
      <c r="A53" s="365"/>
      <c r="B53" s="365"/>
      <c r="C53" s="273">
        <v>46</v>
      </c>
      <c r="D53" s="392">
        <f>VLOOKUP(Tabla132[[#This Row],[Código INDRA]],Tabla13[[Código Indra]:[ID2]],24,FALSE)</f>
        <v>43</v>
      </c>
      <c r="E53" s="394"/>
      <c r="F53" s="393">
        <v>45630</v>
      </c>
      <c r="G53" s="273" t="s">
        <v>362</v>
      </c>
      <c r="H53" s="275" t="s">
        <v>363</v>
      </c>
      <c r="I53" s="273" t="s">
        <v>3300</v>
      </c>
      <c r="J53" s="273" t="str">
        <f>VLOOKUP(Tabla132[[#This Row],[Código INDRA]],Tabla13[[Código Indra]:[ID2]],8,FALSE)</f>
        <v>mgomez</v>
      </c>
      <c r="K53" s="328" t="s">
        <v>1436</v>
      </c>
      <c r="L53" s="275" t="s">
        <v>1662</v>
      </c>
      <c r="M53" s="273" t="s">
        <v>1663</v>
      </c>
      <c r="N53" s="273"/>
      <c r="O53" s="385" t="s">
        <v>1451</v>
      </c>
      <c r="P53" s="385" t="s">
        <v>3293</v>
      </c>
      <c r="Q53" s="365"/>
      <c r="R53" s="365"/>
      <c r="S53" s="365"/>
      <c r="T53" s="365"/>
      <c r="U53" s="365"/>
      <c r="V53" s="365"/>
    </row>
    <row r="54" spans="1:22" ht="130.5" hidden="1" x14ac:dyDescent="0.25">
      <c r="A54" s="365"/>
      <c r="B54" s="365"/>
      <c r="C54" s="273">
        <v>47</v>
      </c>
      <c r="D54" s="392">
        <f>VLOOKUP(Tabla132[[#This Row],[Código INDRA]],Tabla13[[Código Indra]:[ID2]],24,FALSE)</f>
        <v>44</v>
      </c>
      <c r="E54" s="273"/>
      <c r="F54" s="393">
        <v>45589</v>
      </c>
      <c r="G54" s="273" t="s">
        <v>366</v>
      </c>
      <c r="H54" s="275" t="s">
        <v>367</v>
      </c>
      <c r="I54" s="273" t="s">
        <v>3299</v>
      </c>
      <c r="J54" s="273" t="str">
        <f>VLOOKUP(Tabla132[[#This Row],[Código INDRA]],Tabla13[[Código Indra]:[ID2]],8,FALSE)</f>
        <v>mgomez</v>
      </c>
      <c r="K54" s="273" t="s">
        <v>1436</v>
      </c>
      <c r="L54" s="275" t="s">
        <v>1664</v>
      </c>
      <c r="M54" s="328" t="s">
        <v>1665</v>
      </c>
      <c r="N54" s="328"/>
      <c r="O54" s="328" t="s">
        <v>6</v>
      </c>
      <c r="P54" s="328" t="s">
        <v>6</v>
      </c>
      <c r="Q54" s="365"/>
      <c r="R54" s="365"/>
      <c r="S54" s="365"/>
      <c r="T54" s="365"/>
      <c r="U54" s="365"/>
      <c r="V54" s="365"/>
    </row>
    <row r="55" spans="1:22" ht="108.75" hidden="1" x14ac:dyDescent="0.25">
      <c r="A55" s="365"/>
      <c r="B55" s="365"/>
      <c r="C55" s="273">
        <v>48</v>
      </c>
      <c r="D55" s="392">
        <f>VLOOKUP(Tabla132[[#This Row],[Código INDRA]],Tabla13[[Código Indra]:[ID2]],24,FALSE)</f>
        <v>45</v>
      </c>
      <c r="E55" s="394"/>
      <c r="F55" s="393">
        <v>45589</v>
      </c>
      <c r="G55" s="273" t="s">
        <v>370</v>
      </c>
      <c r="H55" s="275" t="s">
        <v>371</v>
      </c>
      <c r="I55" s="273" t="s">
        <v>3299</v>
      </c>
      <c r="J55" s="273" t="str">
        <f>VLOOKUP(Tabla132[[#This Row],[Código INDRA]],Tabla13[[Código Indra]:[ID2]],8,FALSE)</f>
        <v>mgomez</v>
      </c>
      <c r="K55" s="328" t="s">
        <v>1436</v>
      </c>
      <c r="L55" s="275" t="s">
        <v>1666</v>
      </c>
      <c r="M55" s="273" t="s">
        <v>1667</v>
      </c>
      <c r="N55" s="273"/>
      <c r="O55" s="385" t="s">
        <v>6</v>
      </c>
      <c r="P55" s="385" t="s">
        <v>1451</v>
      </c>
      <c r="Q55" s="365"/>
      <c r="R55" s="365"/>
      <c r="S55" s="365"/>
      <c r="T55" s="365"/>
      <c r="U55" s="365"/>
      <c r="V55" s="365"/>
    </row>
    <row r="56" spans="1:22" ht="43.5" hidden="1" x14ac:dyDescent="0.25">
      <c r="A56" s="365"/>
      <c r="B56" s="365"/>
      <c r="C56" s="273">
        <v>49</v>
      </c>
      <c r="D56" s="392">
        <f>VLOOKUP(Tabla132[[#This Row],[Código INDRA]],Tabla13[[Código Indra]:[ID2]],24,FALSE)</f>
        <v>46</v>
      </c>
      <c r="E56" s="273"/>
      <c r="F56" s="393">
        <v>45610</v>
      </c>
      <c r="G56" s="273" t="s">
        <v>374</v>
      </c>
      <c r="H56" s="275" t="s">
        <v>375</v>
      </c>
      <c r="I56" s="273" t="s">
        <v>3304</v>
      </c>
      <c r="J56" s="273" t="str">
        <f>VLOOKUP(Tabla132[[#This Row],[Código INDRA]],Tabla13[[Código Indra]:[ID2]],8,FALSE)</f>
        <v>mgomez</v>
      </c>
      <c r="K56" s="273" t="s">
        <v>1436</v>
      </c>
      <c r="L56" s="275" t="s">
        <v>1668</v>
      </c>
      <c r="M56" s="328" t="s">
        <v>1669</v>
      </c>
      <c r="N56" s="328"/>
      <c r="O56" s="328" t="s">
        <v>6</v>
      </c>
      <c r="P56" s="328" t="s">
        <v>1451</v>
      </c>
      <c r="Q56" s="365"/>
      <c r="R56" s="365"/>
      <c r="S56" s="365"/>
      <c r="T56" s="365"/>
      <c r="U56" s="365"/>
      <c r="V56" s="365"/>
    </row>
    <row r="57" spans="1:22" ht="87" hidden="1" x14ac:dyDescent="0.25">
      <c r="A57" s="365"/>
      <c r="B57" s="365"/>
      <c r="C57" s="273">
        <v>50</v>
      </c>
      <c r="D57" s="392">
        <f>VLOOKUP(Tabla132[[#This Row],[Código INDRA]],Tabla13[[Código Indra]:[ID2]],24,FALSE)</f>
        <v>47</v>
      </c>
      <c r="E57" s="394"/>
      <c r="F57" s="393">
        <v>45601</v>
      </c>
      <c r="G57" s="273" t="s">
        <v>378</v>
      </c>
      <c r="H57" s="275" t="s">
        <v>1670</v>
      </c>
      <c r="I57" s="273" t="s">
        <v>3296</v>
      </c>
      <c r="J57" s="273" t="str">
        <f>VLOOKUP(Tabla132[[#This Row],[Código INDRA]],Tabla13[[Código Indra]:[ID2]],8,FALSE)</f>
        <v>mgomez</v>
      </c>
      <c r="K57" s="328" t="s">
        <v>1436</v>
      </c>
      <c r="L57" s="275" t="s">
        <v>1671</v>
      </c>
      <c r="M57" s="273" t="s">
        <v>1672</v>
      </c>
      <c r="N57" s="273"/>
      <c r="O57" s="385"/>
      <c r="P57" s="385"/>
      <c r="Q57" s="365"/>
      <c r="R57" s="365"/>
      <c r="S57" s="365"/>
      <c r="T57" s="365"/>
      <c r="U57" s="365"/>
      <c r="V57" s="365"/>
    </row>
    <row r="58" spans="1:22" ht="43.5" hidden="1" x14ac:dyDescent="0.25">
      <c r="A58" s="365"/>
      <c r="B58" s="365"/>
      <c r="C58" s="273">
        <v>51</v>
      </c>
      <c r="D58" s="392">
        <f>VLOOKUP(Tabla132[[#This Row],[Código INDRA]],Tabla13[[Código Indra]:[ID2]],24,FALSE)</f>
        <v>48</v>
      </c>
      <c r="E58" s="273"/>
      <c r="F58" s="393">
        <v>45610</v>
      </c>
      <c r="G58" s="273" t="s">
        <v>381</v>
      </c>
      <c r="H58" s="275" t="s">
        <v>1673</v>
      </c>
      <c r="I58" s="273" t="s">
        <v>3303</v>
      </c>
      <c r="J58" s="273" t="str">
        <f>VLOOKUP(Tabla132[[#This Row],[Código INDRA]],Tabla13[[Código Indra]:[ID2]],8,FALSE)</f>
        <v>mgomez</v>
      </c>
      <c r="K58" s="273" t="s">
        <v>1436</v>
      </c>
      <c r="L58" s="275" t="s">
        <v>1674</v>
      </c>
      <c r="M58" s="328" t="s">
        <v>1675</v>
      </c>
      <c r="N58" s="328"/>
      <c r="O58" s="328" t="s">
        <v>6</v>
      </c>
      <c r="P58" s="328" t="s">
        <v>1451</v>
      </c>
      <c r="Q58" s="365"/>
      <c r="R58" s="365"/>
      <c r="S58" s="365"/>
      <c r="T58" s="365"/>
      <c r="U58" s="365"/>
      <c r="V58" s="365"/>
    </row>
    <row r="59" spans="1:22" ht="43.5" hidden="1" x14ac:dyDescent="0.25">
      <c r="A59" s="365"/>
      <c r="B59" s="365"/>
      <c r="C59" s="273">
        <v>52</v>
      </c>
      <c r="D59" s="392">
        <f>VLOOKUP(Tabla132[[#This Row],[Código INDRA]],Tabla13[[Código Indra]:[ID2]],24,FALSE)</f>
        <v>49</v>
      </c>
      <c r="E59" s="394"/>
      <c r="F59" s="393">
        <v>45566</v>
      </c>
      <c r="G59" s="273" t="s">
        <v>694</v>
      </c>
      <c r="H59" s="275" t="s">
        <v>1676</v>
      </c>
      <c r="I59" s="273" t="s">
        <v>3290</v>
      </c>
      <c r="J59" s="273" t="str">
        <f>VLOOKUP(Tabla132[[#This Row],[Código INDRA]],Tabla13[[Código Indra]:[ID2]],8,FALSE)</f>
        <v>mgomez</v>
      </c>
      <c r="K59" s="328" t="s">
        <v>1436</v>
      </c>
      <c r="L59" s="275" t="s">
        <v>1677</v>
      </c>
      <c r="M59" s="273" t="s">
        <v>1678</v>
      </c>
      <c r="N59" s="273">
        <v>45590</v>
      </c>
      <c r="O59" s="385" t="s">
        <v>1451</v>
      </c>
      <c r="P59" s="385" t="s">
        <v>3293</v>
      </c>
      <c r="Q59" s="365"/>
      <c r="R59" s="365"/>
      <c r="S59" s="365"/>
      <c r="T59" s="365"/>
      <c r="U59" s="365"/>
      <c r="V59" s="365"/>
    </row>
    <row r="60" spans="1:22" ht="43.5" hidden="1" x14ac:dyDescent="0.25">
      <c r="A60" s="365"/>
      <c r="B60" s="365"/>
      <c r="C60" s="273">
        <v>53</v>
      </c>
      <c r="D60" s="392">
        <f>VLOOKUP(Tabla132[[#This Row],[Código INDRA]],Tabla13[[Código Indra]:[ID2]],24,FALSE)</f>
        <v>50</v>
      </c>
      <c r="E60" s="273"/>
      <c r="F60" s="393">
        <v>45566</v>
      </c>
      <c r="G60" s="273" t="s">
        <v>698</v>
      </c>
      <c r="H60" s="275" t="s">
        <v>1679</v>
      </c>
      <c r="I60" s="273" t="s">
        <v>3290</v>
      </c>
      <c r="J60" s="273" t="str">
        <f>VLOOKUP(Tabla132[[#This Row],[Código INDRA]],Tabla13[[Código Indra]:[ID2]],8,FALSE)</f>
        <v>mgomez</v>
      </c>
      <c r="K60" s="273" t="s">
        <v>1436</v>
      </c>
      <c r="L60" s="275" t="s">
        <v>1677</v>
      </c>
      <c r="M60" s="328" t="s">
        <v>1678</v>
      </c>
      <c r="N60" s="328">
        <v>45590</v>
      </c>
      <c r="O60" s="328"/>
      <c r="P60" s="328"/>
      <c r="Q60" s="365"/>
      <c r="R60" s="365"/>
      <c r="S60" s="365"/>
      <c r="T60" s="365"/>
      <c r="U60" s="365"/>
      <c r="V60" s="365"/>
    </row>
    <row r="61" spans="1:22" ht="152.25" hidden="1" x14ac:dyDescent="0.25">
      <c r="A61" s="365"/>
      <c r="B61" s="365"/>
      <c r="C61" s="273">
        <v>54</v>
      </c>
      <c r="D61" s="392">
        <f>VLOOKUP(Tabla132[[#This Row],[Código INDRA]],Tabla13[[Código Indra]:[ID2]],24,FALSE)</f>
        <v>51</v>
      </c>
      <c r="E61" s="394"/>
      <c r="F61" s="393">
        <v>45692</v>
      </c>
      <c r="G61" s="273" t="s">
        <v>607</v>
      </c>
      <c r="H61" s="275" t="s">
        <v>608</v>
      </c>
      <c r="I61" s="273" t="s">
        <v>3305</v>
      </c>
      <c r="J61" s="273" t="str">
        <f>VLOOKUP(Tabla132[[#This Row],[Código INDRA]],Tabla13[[Código Indra]:[ID2]],8,FALSE)</f>
        <v>jgdelapena</v>
      </c>
      <c r="K61" s="328" t="s">
        <v>1436</v>
      </c>
      <c r="L61" s="275" t="s">
        <v>1680</v>
      </c>
      <c r="M61" s="409" t="s">
        <v>1681</v>
      </c>
      <c r="N61" s="273"/>
      <c r="O61" s="385" t="s">
        <v>6</v>
      </c>
      <c r="P61" s="385" t="s">
        <v>1451</v>
      </c>
      <c r="Q61" s="365"/>
      <c r="R61" s="365"/>
      <c r="S61" s="365"/>
      <c r="T61" s="365"/>
      <c r="U61" s="365"/>
      <c r="V61" s="365"/>
    </row>
    <row r="62" spans="1:22" ht="65.25" hidden="1" x14ac:dyDescent="0.25">
      <c r="A62" s="365"/>
      <c r="B62" s="365"/>
      <c r="C62" s="273">
        <v>55</v>
      </c>
      <c r="D62" s="392">
        <f>VLOOKUP(Tabla132[[#This Row],[Código INDRA]],Tabla13[[Código Indra]:[ID2]],24,FALSE)</f>
        <v>52</v>
      </c>
      <c r="E62" s="273"/>
      <c r="F62" s="393">
        <v>45587</v>
      </c>
      <c r="G62" s="273" t="s">
        <v>704</v>
      </c>
      <c r="H62" s="275" t="s">
        <v>705</v>
      </c>
      <c r="I62" s="273" t="s">
        <v>3290</v>
      </c>
      <c r="J62" s="273" t="str">
        <f>VLOOKUP(Tabla132[[#This Row],[Código INDRA]],Tabla13[[Código Indra]:[ID2]],8,FALSE)</f>
        <v>mgomez</v>
      </c>
      <c r="K62" s="273" t="s">
        <v>1436</v>
      </c>
      <c r="L62" s="275" t="s">
        <v>1684</v>
      </c>
      <c r="M62" s="328" t="s">
        <v>1683</v>
      </c>
      <c r="N62" s="328"/>
      <c r="O62" s="328" t="s">
        <v>6</v>
      </c>
      <c r="P62" s="328" t="s">
        <v>1451</v>
      </c>
      <c r="Q62" s="365"/>
      <c r="R62" s="365"/>
      <c r="S62" s="365"/>
      <c r="T62" s="365"/>
      <c r="U62" s="365"/>
      <c r="V62" s="365"/>
    </row>
    <row r="63" spans="1:22" ht="152.25" hidden="1" x14ac:dyDescent="0.25">
      <c r="A63" s="365"/>
      <c r="B63" s="365"/>
      <c r="C63" s="273">
        <v>56</v>
      </c>
      <c r="D63" s="392">
        <f>VLOOKUP(Tabla132[[#This Row],[Código INDRA]],Tabla13[[Código Indra]:[ID2]],24,FALSE)</f>
        <v>53</v>
      </c>
      <c r="E63" s="394"/>
      <c r="F63" s="393">
        <v>45573</v>
      </c>
      <c r="G63" s="273" t="s">
        <v>385</v>
      </c>
      <c r="H63" s="275" t="s">
        <v>386</v>
      </c>
      <c r="I63" s="273" t="s">
        <v>3296</v>
      </c>
      <c r="J63" s="273" t="str">
        <f>VLOOKUP(Tabla132[[#This Row],[Código INDRA]],Tabla13[[Código Indra]:[ID2]],8,FALSE)</f>
        <v>mgomez</v>
      </c>
      <c r="K63" s="328" t="s">
        <v>1436</v>
      </c>
      <c r="L63" s="275" t="s">
        <v>1685</v>
      </c>
      <c r="M63" s="273" t="s">
        <v>1686</v>
      </c>
      <c r="N63" s="273"/>
      <c r="O63" s="385" t="s">
        <v>6</v>
      </c>
      <c r="P63" s="385" t="s">
        <v>1451</v>
      </c>
      <c r="Q63" s="365"/>
      <c r="R63" s="365"/>
      <c r="S63" s="365"/>
      <c r="T63" s="365"/>
      <c r="U63" s="365"/>
      <c r="V63" s="365"/>
    </row>
    <row r="64" spans="1:22" ht="43.5" x14ac:dyDescent="0.25">
      <c r="A64" s="365"/>
      <c r="B64" s="365"/>
      <c r="C64" s="273">
        <v>57</v>
      </c>
      <c r="D64" s="392">
        <f>VLOOKUP(Tabla132[[#This Row],[Código INDRA]],Tabla13[[Código Indra]:[ID2]],24,FALSE)</f>
        <v>54</v>
      </c>
      <c r="E64" s="273"/>
      <c r="F64" s="393">
        <v>45692</v>
      </c>
      <c r="G64" s="273" t="s">
        <v>141</v>
      </c>
      <c r="H64" s="275" t="s">
        <v>142</v>
      </c>
      <c r="I64" s="273" t="s">
        <v>3289</v>
      </c>
      <c r="J64" s="273" t="str">
        <f>VLOOKUP(Tabla132[[#This Row],[Código INDRA]],Tabla13[[Código Indra]:[ID2]],8,FALSE)</f>
        <v>mgomez</v>
      </c>
      <c r="K64" s="273"/>
      <c r="L64" s="275" t="s">
        <v>3306</v>
      </c>
      <c r="M64" s="410" t="s">
        <v>1689</v>
      </c>
      <c r="N64" s="328"/>
      <c r="O64" s="328"/>
      <c r="P64" s="328"/>
      <c r="Q64" s="365"/>
      <c r="R64" s="365"/>
      <c r="S64" s="365"/>
      <c r="T64" s="365"/>
      <c r="U64" s="365"/>
      <c r="V64" s="365"/>
    </row>
    <row r="65" spans="1:22" ht="43.5" x14ac:dyDescent="0.25">
      <c r="A65" s="365"/>
      <c r="B65" s="365"/>
      <c r="C65" s="273">
        <v>57</v>
      </c>
      <c r="D65" s="392">
        <f>VLOOKUP(Tabla132[[#This Row],[Código INDRA]],Tabla13[[Código Indra]:[ID2]],24,FALSE)</f>
        <v>54</v>
      </c>
      <c r="E65" s="394"/>
      <c r="F65" s="393">
        <v>45692</v>
      </c>
      <c r="G65" s="273" t="s">
        <v>141</v>
      </c>
      <c r="H65" s="275" t="s">
        <v>142</v>
      </c>
      <c r="I65" s="273" t="s">
        <v>3289</v>
      </c>
      <c r="J65" s="273" t="str">
        <f>VLOOKUP(Tabla132[[#This Row],[Código INDRA]],Tabla13[[Código Indra]:[ID2]],8,FALSE)</f>
        <v>mgomez</v>
      </c>
      <c r="K65" s="328"/>
      <c r="L65" s="275" t="s">
        <v>3307</v>
      </c>
      <c r="M65" s="410" t="s">
        <v>3308</v>
      </c>
      <c r="N65" s="273"/>
      <c r="O65" s="385" t="s">
        <v>6</v>
      </c>
      <c r="P65" s="385" t="s">
        <v>1451</v>
      </c>
      <c r="Q65" s="365"/>
      <c r="R65" s="365"/>
      <c r="S65" s="365"/>
      <c r="T65" s="365"/>
      <c r="U65" s="365"/>
      <c r="V65" s="365"/>
    </row>
    <row r="66" spans="1:22" ht="43.5" x14ac:dyDescent="0.25">
      <c r="A66" s="365"/>
      <c r="B66" s="365"/>
      <c r="C66" s="273">
        <v>58</v>
      </c>
      <c r="D66" s="392">
        <f>VLOOKUP(Tabla132[[#This Row],[Código INDRA]],Tabla13[[Código Indra]:[ID2]],24,FALSE)</f>
        <v>55</v>
      </c>
      <c r="E66" s="273"/>
      <c r="F66" s="393">
        <v>45635</v>
      </c>
      <c r="G66" s="273" t="s">
        <v>389</v>
      </c>
      <c r="H66" s="275" t="s">
        <v>1690</v>
      </c>
      <c r="I66" s="273" t="s">
        <v>3298</v>
      </c>
      <c r="J66" s="273" t="str">
        <f>VLOOKUP(Tabla132[[#This Row],[Código INDRA]],Tabla13[[Código Indra]:[ID2]],8,FALSE)</f>
        <v>mgomez</v>
      </c>
      <c r="K66" s="273"/>
      <c r="L66" s="275" t="s">
        <v>1696</v>
      </c>
      <c r="M66" s="409" t="s">
        <v>1692</v>
      </c>
      <c r="N66" s="328"/>
      <c r="O66" s="328" t="s">
        <v>6</v>
      </c>
      <c r="P66" s="328" t="s">
        <v>1451</v>
      </c>
      <c r="Q66" s="365"/>
      <c r="R66" s="365"/>
      <c r="S66" s="365"/>
      <c r="T66" s="365"/>
      <c r="U66" s="365"/>
      <c r="V66" s="365"/>
    </row>
    <row r="67" spans="1:22" ht="43.5" x14ac:dyDescent="0.25">
      <c r="A67" s="365"/>
      <c r="B67" s="365"/>
      <c r="C67" s="273">
        <v>59</v>
      </c>
      <c r="D67" s="392">
        <f>VLOOKUP(Tabla132[[#This Row],[Código INDRA]],Tabla13[[Código Indra]:[ID2]],24,FALSE)</f>
        <v>56</v>
      </c>
      <c r="E67" s="394"/>
      <c r="F67" s="393"/>
      <c r="G67" s="273" t="s">
        <v>392</v>
      </c>
      <c r="H67" s="275" t="s">
        <v>1693</v>
      </c>
      <c r="I67" s="273" t="s">
        <v>3298</v>
      </c>
      <c r="J67" s="273" t="str">
        <f>VLOOKUP(Tabla132[[#This Row],[Código INDRA]],Tabla13[[Código Indra]:[ID2]],8,FALSE)</f>
        <v>mgomez</v>
      </c>
      <c r="K67" s="328"/>
      <c r="L67" s="275" t="s">
        <v>1696</v>
      </c>
      <c r="M67" s="409" t="s">
        <v>1692</v>
      </c>
      <c r="N67" s="273"/>
      <c r="O67" s="385"/>
      <c r="P67" s="385"/>
      <c r="Q67" s="365"/>
      <c r="R67" s="365"/>
      <c r="S67" s="365"/>
      <c r="T67" s="365"/>
      <c r="U67" s="365"/>
      <c r="V67" s="365"/>
    </row>
    <row r="68" spans="1:22" ht="43.5" x14ac:dyDescent="0.25">
      <c r="A68" s="365"/>
      <c r="B68" s="365"/>
      <c r="C68" s="273">
        <v>60</v>
      </c>
      <c r="D68" s="392">
        <f>VLOOKUP(Tabla132[[#This Row],[Código INDRA]],Tabla13[[Código Indra]:[ID2]],24,FALSE)</f>
        <v>57</v>
      </c>
      <c r="E68" s="273"/>
      <c r="F68" s="393"/>
      <c r="G68" s="273" t="s">
        <v>396</v>
      </c>
      <c r="H68" s="275" t="s">
        <v>1694</v>
      </c>
      <c r="I68" s="273" t="s">
        <v>3298</v>
      </c>
      <c r="J68" s="273" t="str">
        <f>VLOOKUP(Tabla132[[#This Row],[Código INDRA]],Tabla13[[Código Indra]:[ID2]],8,FALSE)</f>
        <v>mgomez</v>
      </c>
      <c r="K68" s="273"/>
      <c r="L68" s="275" t="s">
        <v>1696</v>
      </c>
      <c r="M68" s="409" t="s">
        <v>1692</v>
      </c>
      <c r="N68" s="328"/>
      <c r="O68" s="328"/>
      <c r="P68" s="328"/>
      <c r="Q68" s="365"/>
      <c r="R68" s="365"/>
      <c r="S68" s="365"/>
      <c r="T68" s="365"/>
      <c r="U68" s="365"/>
      <c r="V68" s="365"/>
    </row>
    <row r="69" spans="1:22" ht="43.5" x14ac:dyDescent="0.25">
      <c r="A69" s="365"/>
      <c r="B69" s="365"/>
      <c r="C69" s="273">
        <v>61</v>
      </c>
      <c r="D69" s="392">
        <f>VLOOKUP(Tabla132[[#This Row],[Código INDRA]],Tabla13[[Código Indra]:[ID2]],24,FALSE)</f>
        <v>58</v>
      </c>
      <c r="E69" s="394"/>
      <c r="F69" s="393"/>
      <c r="G69" s="273" t="s">
        <v>399</v>
      </c>
      <c r="H69" s="275" t="s">
        <v>1695</v>
      </c>
      <c r="I69" s="273" t="s">
        <v>3298</v>
      </c>
      <c r="J69" s="273" t="str">
        <f>VLOOKUP(Tabla132[[#This Row],[Código INDRA]],Tabla13[[Código Indra]:[ID2]],8,FALSE)</f>
        <v>mgomez</v>
      </c>
      <c r="K69" s="328"/>
      <c r="L69" s="275" t="s">
        <v>1696</v>
      </c>
      <c r="M69" s="409" t="s">
        <v>1692</v>
      </c>
      <c r="N69" s="273"/>
      <c r="O69" s="385"/>
      <c r="P69" s="385"/>
      <c r="Q69" s="365"/>
      <c r="R69" s="365"/>
      <c r="S69" s="365"/>
      <c r="T69" s="365"/>
      <c r="U69" s="365"/>
      <c r="V69" s="365"/>
    </row>
    <row r="70" spans="1:22" ht="43.5" x14ac:dyDescent="0.25">
      <c r="A70" s="365"/>
      <c r="B70" s="365"/>
      <c r="C70" s="273">
        <v>62</v>
      </c>
      <c r="D70" s="392">
        <f>VLOOKUP(Tabla132[[#This Row],[Código INDRA]],Tabla13[[Código Indra]:[ID2]],24,FALSE)</f>
        <v>59</v>
      </c>
      <c r="E70" s="273"/>
      <c r="F70" s="393">
        <v>45614</v>
      </c>
      <c r="G70" s="273" t="s">
        <v>403</v>
      </c>
      <c r="H70" s="275" t="s">
        <v>1697</v>
      </c>
      <c r="I70" s="273" t="s">
        <v>3298</v>
      </c>
      <c r="J70" s="273" t="str">
        <f>VLOOKUP(Tabla132[[#This Row],[Código INDRA]],Tabla13[[Código Indra]:[ID2]],8,FALSE)</f>
        <v>mgomez</v>
      </c>
      <c r="K70" s="273"/>
      <c r="L70" s="275" t="s">
        <v>1691</v>
      </c>
      <c r="M70" s="409" t="s">
        <v>1692</v>
      </c>
      <c r="N70" s="328"/>
      <c r="O70" s="328"/>
      <c r="P70" s="328"/>
      <c r="Q70" s="365"/>
      <c r="R70" s="365"/>
      <c r="S70" s="365"/>
      <c r="T70" s="365"/>
      <c r="U70" s="365"/>
      <c r="V70" s="365"/>
    </row>
    <row r="71" spans="1:22" ht="152.25" hidden="1" x14ac:dyDescent="0.25">
      <c r="A71" s="365"/>
      <c r="B71" s="365"/>
      <c r="C71" s="273">
        <v>63</v>
      </c>
      <c r="D71" s="392">
        <f>VLOOKUP(Tabla132[[#This Row],[Código INDRA]],Tabla13[[Código Indra]:[ID2]],24,FALSE)</f>
        <v>61</v>
      </c>
      <c r="E71" s="394"/>
      <c r="F71" s="393">
        <v>45692</v>
      </c>
      <c r="G71" s="273" t="s">
        <v>410</v>
      </c>
      <c r="H71" s="275" t="s">
        <v>411</v>
      </c>
      <c r="I71" s="273"/>
      <c r="J71" s="273" t="str">
        <f>VLOOKUP(Tabla132[[#This Row],[Código INDRA]],Tabla13[[Código Indra]:[ID2]],8,FALSE)</f>
        <v>mgomez</v>
      </c>
      <c r="K71" s="328" t="s">
        <v>1436</v>
      </c>
      <c r="L71" s="275" t="s">
        <v>1700</v>
      </c>
      <c r="M71" s="328" t="s">
        <v>1701</v>
      </c>
      <c r="N71" s="273"/>
      <c r="O71" s="385"/>
      <c r="P71" s="385"/>
      <c r="Q71" s="365"/>
      <c r="R71" s="365"/>
      <c r="S71" s="365"/>
      <c r="T71" s="365"/>
      <c r="U71" s="365"/>
      <c r="V71" s="365"/>
    </row>
    <row r="72" spans="1:22" ht="152.25" hidden="1" x14ac:dyDescent="0.25">
      <c r="A72" s="365"/>
      <c r="B72" s="365"/>
      <c r="C72" s="273">
        <v>64</v>
      </c>
      <c r="D72" s="392">
        <f>VLOOKUP(Tabla132[[#This Row],[Código INDRA]],Tabla13[[Código Indra]:[ID2]],24,FALSE)</f>
        <v>62</v>
      </c>
      <c r="E72" s="273"/>
      <c r="F72" s="393">
        <v>45692</v>
      </c>
      <c r="G72" s="273" t="s">
        <v>414</v>
      </c>
      <c r="H72" s="275" t="s">
        <v>415</v>
      </c>
      <c r="I72" s="273"/>
      <c r="J72" s="273" t="str">
        <f>VLOOKUP(Tabla132[[#This Row],[Código INDRA]],Tabla13[[Código Indra]:[ID2]],8,FALSE)</f>
        <v>mgomez</v>
      </c>
      <c r="K72" s="273" t="s">
        <v>1436</v>
      </c>
      <c r="L72" s="275" t="s">
        <v>1700</v>
      </c>
      <c r="M72" s="273" t="s">
        <v>1701</v>
      </c>
      <c r="N72" s="328"/>
      <c r="O72" s="328"/>
      <c r="P72" s="328"/>
      <c r="Q72" s="365"/>
      <c r="R72" s="365"/>
      <c r="S72" s="365"/>
      <c r="T72" s="365"/>
      <c r="U72" s="365"/>
      <c r="V72" s="365"/>
    </row>
    <row r="73" spans="1:22" ht="65.25" hidden="1" x14ac:dyDescent="0.25">
      <c r="A73" s="365"/>
      <c r="B73" s="365"/>
      <c r="C73" s="273">
        <v>65</v>
      </c>
      <c r="D73" s="392">
        <f>VLOOKUP(Tabla132[[#This Row],[Código INDRA]],Tabla13[[Código Indra]:[ID2]],24,FALSE)</f>
        <v>63</v>
      </c>
      <c r="E73" s="394"/>
      <c r="F73" s="393">
        <v>45691</v>
      </c>
      <c r="G73" s="273" t="s">
        <v>144</v>
      </c>
      <c r="H73" s="275" t="s">
        <v>145</v>
      </c>
      <c r="I73" s="273"/>
      <c r="J73" s="273" t="str">
        <f>VLOOKUP(Tabla132[[#This Row],[Código INDRA]],Tabla13[[Código Indra]:[ID2]],8,FALSE)</f>
        <v>adalvarezm</v>
      </c>
      <c r="K73" s="328" t="s">
        <v>1436</v>
      </c>
      <c r="L73" s="275" t="s">
        <v>1702</v>
      </c>
      <c r="M73" s="328" t="s">
        <v>1703</v>
      </c>
      <c r="N73" s="273"/>
      <c r="O73" s="385" t="s">
        <v>6</v>
      </c>
      <c r="P73" s="385" t="s">
        <v>3293</v>
      </c>
      <c r="Q73" s="365"/>
      <c r="R73" s="365"/>
      <c r="S73" s="365"/>
      <c r="T73" s="365"/>
      <c r="U73" s="365"/>
      <c r="V73" s="365"/>
    </row>
    <row r="74" spans="1:22" ht="282.75" hidden="1" x14ac:dyDescent="0.25">
      <c r="A74" s="365"/>
      <c r="B74" s="365"/>
      <c r="C74" s="273">
        <v>66</v>
      </c>
      <c r="D74" s="392">
        <f>VLOOKUP(Tabla132[[#This Row],[Código INDRA]],Tabla13[[Código Indra]:[ID2]],24,FALSE)</f>
        <v>65</v>
      </c>
      <c r="E74" s="273"/>
      <c r="F74" s="393">
        <v>45692</v>
      </c>
      <c r="G74" s="273" t="s">
        <v>100</v>
      </c>
      <c r="H74" s="275" t="s">
        <v>101</v>
      </c>
      <c r="I74" s="273"/>
      <c r="J74" s="273" t="str">
        <f>VLOOKUP(Tabla132[[#This Row],[Código INDRA]],Tabla13[[Código Indra]:[ID2]],8,FALSE)</f>
        <v>mgomez</v>
      </c>
      <c r="K74" s="273" t="s">
        <v>1436</v>
      </c>
      <c r="L74" s="275" t="s">
        <v>1704</v>
      </c>
      <c r="M74" s="409" t="s">
        <v>1705</v>
      </c>
      <c r="N74" s="328"/>
      <c r="O74" s="328" t="s">
        <v>6</v>
      </c>
      <c r="P74" s="328" t="s">
        <v>1451</v>
      </c>
      <c r="Q74" s="365"/>
      <c r="R74" s="365"/>
      <c r="S74" s="365"/>
      <c r="T74" s="365"/>
      <c r="U74" s="365"/>
      <c r="V74" s="365"/>
    </row>
    <row r="75" spans="1:22" ht="326.25" hidden="1" x14ac:dyDescent="0.25">
      <c r="A75" s="365"/>
      <c r="B75" s="365"/>
      <c r="C75" s="273">
        <v>67</v>
      </c>
      <c r="D75" s="392">
        <f>VLOOKUP(Tabla132[[#This Row],[Código INDRA]],Tabla13[[Código Indra]:[ID2]],24,FALSE)</f>
        <v>66</v>
      </c>
      <c r="E75" s="394"/>
      <c r="F75" s="393">
        <v>45692</v>
      </c>
      <c r="G75" s="273" t="s">
        <v>103</v>
      </c>
      <c r="H75" s="275" t="s">
        <v>104</v>
      </c>
      <c r="I75" s="273"/>
      <c r="J75" s="273" t="str">
        <f>VLOOKUP(Tabla132[[#This Row],[Código INDRA]],Tabla13[[Código Indra]:[ID2]],8,FALSE)</f>
        <v>adalvarezm</v>
      </c>
      <c r="K75" s="328" t="s">
        <v>1436</v>
      </c>
      <c r="L75" s="275" t="s">
        <v>1706</v>
      </c>
      <c r="M75" s="409" t="s">
        <v>1707</v>
      </c>
      <c r="N75" s="273"/>
      <c r="O75" s="385" t="s">
        <v>6</v>
      </c>
      <c r="P75" s="385" t="s">
        <v>1451</v>
      </c>
      <c r="Q75" s="365"/>
      <c r="R75" s="365"/>
      <c r="S75" s="365"/>
      <c r="T75" s="365"/>
      <c r="U75" s="365"/>
      <c r="V75" s="365"/>
    </row>
    <row r="76" spans="1:22" ht="43.5" hidden="1" x14ac:dyDescent="0.25">
      <c r="A76" s="365"/>
      <c r="B76" s="365"/>
      <c r="C76" s="273">
        <v>68</v>
      </c>
      <c r="D76" s="392">
        <f>VLOOKUP(Tabla132[[#This Row],[Código INDRA]],Tabla13[[Código Indra]:[ID2]],24,FALSE)</f>
        <v>620</v>
      </c>
      <c r="E76" s="273"/>
      <c r="F76" s="393">
        <v>45672</v>
      </c>
      <c r="G76" s="273" t="s">
        <v>189</v>
      </c>
      <c r="H76" s="275" t="s">
        <v>190</v>
      </c>
      <c r="I76" s="273" t="s">
        <v>3289</v>
      </c>
      <c r="J76" s="273" t="str">
        <f>VLOOKUP(Tabla132[[#This Row],[Código INDRA]],Tabla13[[Código Indra]:[ID2]],8,FALSE)</f>
        <v>adalvarezm</v>
      </c>
      <c r="K76" s="273" t="s">
        <v>1436</v>
      </c>
      <c r="L76" s="275" t="s">
        <v>1956</v>
      </c>
      <c r="M76" s="409" t="s">
        <v>1789</v>
      </c>
      <c r="N76" s="328"/>
      <c r="O76" s="328"/>
      <c r="P76" s="328"/>
      <c r="Q76" s="365"/>
      <c r="R76" s="365"/>
      <c r="S76" s="365"/>
      <c r="T76" s="365"/>
      <c r="U76" s="365"/>
      <c r="V76" s="365"/>
    </row>
    <row r="77" spans="1:22" ht="43.5" hidden="1" x14ac:dyDescent="0.25">
      <c r="A77" s="365"/>
      <c r="B77" s="365"/>
      <c r="C77" s="273">
        <v>69</v>
      </c>
      <c r="D77" s="392">
        <f>VLOOKUP(Tabla132[[#This Row],[Código INDRA]],Tabla13[[Código Indra]:[ID2]],24,FALSE)</f>
        <v>620</v>
      </c>
      <c r="E77" s="394"/>
      <c r="F77" s="393">
        <v>45672</v>
      </c>
      <c r="G77" s="273" t="s">
        <v>189</v>
      </c>
      <c r="H77" s="275" t="s">
        <v>190</v>
      </c>
      <c r="I77" s="273" t="s">
        <v>3289</v>
      </c>
      <c r="J77" s="273" t="str">
        <f>VLOOKUP(Tabla132[[#This Row],[Código INDRA]],Tabla13[[Código Indra]:[ID2]],8,FALSE)</f>
        <v>adalvarezm</v>
      </c>
      <c r="K77" s="328" t="s">
        <v>1436</v>
      </c>
      <c r="L77" s="275" t="s">
        <v>1957</v>
      </c>
      <c r="M77" s="409" t="s">
        <v>1789</v>
      </c>
      <c r="N77" s="273"/>
      <c r="O77" s="385"/>
      <c r="P77" s="385"/>
      <c r="Q77" s="365"/>
      <c r="R77" s="365"/>
      <c r="S77" s="365"/>
      <c r="T77" s="365"/>
      <c r="U77" s="365"/>
      <c r="V77" s="365"/>
    </row>
    <row r="78" spans="1:22" ht="43.5" hidden="1" x14ac:dyDescent="0.25">
      <c r="A78" s="365"/>
      <c r="B78" s="365"/>
      <c r="C78" s="273">
        <v>70</v>
      </c>
      <c r="D78" s="392">
        <f>VLOOKUP(Tabla132[[#This Row],[Código INDRA]],Tabla13[[Código Indra]:[ID2]],24,FALSE)</f>
        <v>620</v>
      </c>
      <c r="E78" s="273"/>
      <c r="F78" s="393">
        <v>45672</v>
      </c>
      <c r="G78" s="273" t="s">
        <v>189</v>
      </c>
      <c r="H78" s="275" t="s">
        <v>190</v>
      </c>
      <c r="I78" s="273" t="s">
        <v>3289</v>
      </c>
      <c r="J78" s="273" t="str">
        <f>VLOOKUP(Tabla132[[#This Row],[Código INDRA]],Tabla13[[Código Indra]:[ID2]],8,FALSE)</f>
        <v>adalvarezm</v>
      </c>
      <c r="K78" s="273" t="s">
        <v>1436</v>
      </c>
      <c r="L78" s="275" t="s">
        <v>1958</v>
      </c>
      <c r="M78" s="409" t="s">
        <v>1789</v>
      </c>
      <c r="N78" s="328"/>
      <c r="O78" s="328"/>
      <c r="P78" s="328"/>
      <c r="Q78" s="365"/>
      <c r="R78" s="365"/>
      <c r="S78" s="365"/>
      <c r="T78" s="365"/>
      <c r="U78" s="365"/>
      <c r="V78" s="365"/>
    </row>
    <row r="79" spans="1:22" ht="43.5" hidden="1" x14ac:dyDescent="0.25">
      <c r="A79" s="365"/>
      <c r="B79" s="365"/>
      <c r="C79" s="273">
        <v>71</v>
      </c>
      <c r="D79" s="392">
        <f>VLOOKUP(Tabla132[[#This Row],[Código INDRA]],Tabla13[[Código Indra]:[ID2]],24,FALSE)</f>
        <v>620</v>
      </c>
      <c r="E79" s="394"/>
      <c r="F79" s="393">
        <v>45672</v>
      </c>
      <c r="G79" s="273" t="s">
        <v>189</v>
      </c>
      <c r="H79" s="275" t="s">
        <v>190</v>
      </c>
      <c r="I79" s="273" t="s">
        <v>3289</v>
      </c>
      <c r="J79" s="273" t="str">
        <f>VLOOKUP(Tabla132[[#This Row],[Código INDRA]],Tabla13[[Código Indra]:[ID2]],8,FALSE)</f>
        <v>adalvarezm</v>
      </c>
      <c r="K79" s="328" t="s">
        <v>1436</v>
      </c>
      <c r="L79" s="275" t="s">
        <v>1959</v>
      </c>
      <c r="M79" s="409" t="s">
        <v>1789</v>
      </c>
      <c r="N79" s="273"/>
      <c r="O79" s="385"/>
      <c r="P79" s="385"/>
      <c r="Q79" s="365"/>
      <c r="R79" s="365"/>
      <c r="S79" s="365"/>
      <c r="T79" s="365"/>
      <c r="U79" s="365"/>
      <c r="V79" s="365"/>
    </row>
    <row r="80" spans="1:22" ht="43.5" hidden="1" x14ac:dyDescent="0.25">
      <c r="A80" s="365"/>
      <c r="B80" s="365"/>
      <c r="C80" s="273">
        <v>72</v>
      </c>
      <c r="D80" s="392">
        <f>VLOOKUP(Tabla132[[#This Row],[Código INDRA]],Tabla13[[Código Indra]:[ID2]],24,FALSE)</f>
        <v>620</v>
      </c>
      <c r="E80" s="273"/>
      <c r="F80" s="393">
        <v>45672</v>
      </c>
      <c r="G80" s="273" t="s">
        <v>189</v>
      </c>
      <c r="H80" s="275" t="s">
        <v>190</v>
      </c>
      <c r="I80" s="273" t="s">
        <v>3289</v>
      </c>
      <c r="J80" s="273" t="str">
        <f>VLOOKUP(Tabla132[[#This Row],[Código INDRA]],Tabla13[[Código Indra]:[ID2]],8,FALSE)</f>
        <v>adalvarezm</v>
      </c>
      <c r="K80" s="273" t="s">
        <v>1436</v>
      </c>
      <c r="L80" s="275" t="s">
        <v>1960</v>
      </c>
      <c r="M80" s="409" t="s">
        <v>1789</v>
      </c>
      <c r="N80" s="328"/>
      <c r="O80" s="328"/>
      <c r="P80" s="328"/>
      <c r="Q80" s="365"/>
      <c r="R80" s="365"/>
      <c r="S80" s="365"/>
      <c r="T80" s="365"/>
      <c r="U80" s="365"/>
      <c r="V80" s="365"/>
    </row>
    <row r="81" spans="1:22" ht="65.25" x14ac:dyDescent="0.25">
      <c r="A81" s="365"/>
      <c r="B81" s="365"/>
      <c r="C81" s="273">
        <v>73</v>
      </c>
      <c r="D81" s="392">
        <f>VLOOKUP(Tabla132[[#This Row],[Código INDRA]],Tabla13[[Código Indra]:[ID2]],24,FALSE)</f>
        <v>620</v>
      </c>
      <c r="E81" s="394"/>
      <c r="F81" s="393">
        <v>45672</v>
      </c>
      <c r="G81" s="273" t="s">
        <v>189</v>
      </c>
      <c r="H81" s="275" t="s">
        <v>190</v>
      </c>
      <c r="I81" s="273" t="s">
        <v>3289</v>
      </c>
      <c r="J81" s="273" t="str">
        <f>VLOOKUP(Tabla132[[#This Row],[Código INDRA]],Tabla13[[Código Indra]:[ID2]],8,FALSE)</f>
        <v>adalvarezm</v>
      </c>
      <c r="K81" s="328"/>
      <c r="L81" s="275" t="s">
        <v>3309</v>
      </c>
      <c r="M81" s="409" t="s">
        <v>1692</v>
      </c>
      <c r="N81" s="273"/>
      <c r="O81" s="385"/>
      <c r="P81" s="385"/>
      <c r="Q81" s="365"/>
      <c r="R81" s="365"/>
      <c r="S81" s="365"/>
      <c r="T81" s="365"/>
      <c r="U81" s="365"/>
      <c r="V81" s="365"/>
    </row>
    <row r="82" spans="1:22" ht="43.5" x14ac:dyDescent="0.25">
      <c r="A82" s="365"/>
      <c r="B82" s="365"/>
      <c r="C82" s="273">
        <v>74</v>
      </c>
      <c r="D82" s="392">
        <f>VLOOKUP(Tabla132[[#This Row],[Código INDRA]],Tabla13[[Código Indra]:[ID2]],24,FALSE)</f>
        <v>620</v>
      </c>
      <c r="E82" s="273"/>
      <c r="F82" s="393">
        <v>45672</v>
      </c>
      <c r="G82" s="273" t="s">
        <v>189</v>
      </c>
      <c r="H82" s="275" t="s">
        <v>190</v>
      </c>
      <c r="I82" s="273" t="s">
        <v>3289</v>
      </c>
      <c r="J82" s="273" t="str">
        <f>VLOOKUP(Tabla132[[#This Row],[Código INDRA]],Tabla13[[Código Indra]:[ID2]],8,FALSE)</f>
        <v>adalvarezm</v>
      </c>
      <c r="K82" s="273"/>
      <c r="L82" s="275" t="s">
        <v>3310</v>
      </c>
      <c r="M82" s="409" t="s">
        <v>1692</v>
      </c>
      <c r="N82" s="328"/>
      <c r="O82" s="328"/>
      <c r="P82" s="328"/>
      <c r="Q82" s="365"/>
      <c r="R82" s="365"/>
      <c r="S82" s="365"/>
      <c r="T82" s="365"/>
      <c r="U82" s="365"/>
      <c r="V82" s="365"/>
    </row>
    <row r="83" spans="1:22" ht="43.5" hidden="1" x14ac:dyDescent="0.25">
      <c r="A83" s="365"/>
      <c r="B83" s="365"/>
      <c r="C83" s="273">
        <v>75</v>
      </c>
      <c r="D83" s="392">
        <f>VLOOKUP(Tabla132[[#This Row],[Código INDRA]],Tabla13[[Código Indra]:[ID2]],24,FALSE)</f>
        <v>620</v>
      </c>
      <c r="E83" s="394"/>
      <c r="F83" s="393">
        <v>45672</v>
      </c>
      <c r="G83" s="273" t="s">
        <v>189</v>
      </c>
      <c r="H83" s="275" t="s">
        <v>190</v>
      </c>
      <c r="I83" s="273" t="s">
        <v>3289</v>
      </c>
      <c r="J83" s="273" t="str">
        <f>VLOOKUP(Tabla132[[#This Row],[Código INDRA]],Tabla13[[Código Indra]:[ID2]],8,FALSE)</f>
        <v>adalvarezm</v>
      </c>
      <c r="K83" s="328" t="s">
        <v>1436</v>
      </c>
      <c r="L83" s="275" t="s">
        <v>1961</v>
      </c>
      <c r="M83" s="409" t="s">
        <v>1782</v>
      </c>
      <c r="N83" s="273"/>
      <c r="O83" s="385" t="s">
        <v>6</v>
      </c>
      <c r="P83" s="385" t="s">
        <v>1451</v>
      </c>
      <c r="Q83" s="365"/>
      <c r="R83" s="365"/>
      <c r="S83" s="365"/>
      <c r="T83" s="365"/>
      <c r="U83" s="365"/>
      <c r="V83" s="365"/>
    </row>
    <row r="84" spans="1:22" ht="43.5" hidden="1" x14ac:dyDescent="0.25">
      <c r="A84" s="365"/>
      <c r="B84" s="365"/>
      <c r="C84" s="273">
        <v>76</v>
      </c>
      <c r="D84" s="392">
        <f>VLOOKUP(Tabla132[[#This Row],[Código INDRA]],Tabla13[[Código Indra]:[ID2]],24,FALSE)</f>
        <v>69</v>
      </c>
      <c r="E84" s="273"/>
      <c r="F84" s="393">
        <v>45672</v>
      </c>
      <c r="G84" s="273" t="s">
        <v>25</v>
      </c>
      <c r="H84" s="275" t="s">
        <v>26</v>
      </c>
      <c r="I84" s="273" t="s">
        <v>3289</v>
      </c>
      <c r="J84" s="273" t="str">
        <f>VLOOKUP(Tabla132[[#This Row],[Código INDRA]],Tabla13[[Código Indra]:[ID2]],8,FALSE)</f>
        <v>mgomez</v>
      </c>
      <c r="K84" s="273" t="s">
        <v>1436</v>
      </c>
      <c r="L84" s="275" t="s">
        <v>1709</v>
      </c>
      <c r="M84" s="273"/>
      <c r="N84" s="328"/>
      <c r="O84" s="328"/>
      <c r="P84" s="328"/>
      <c r="Q84" s="365"/>
      <c r="R84" s="365"/>
      <c r="S84" s="365"/>
      <c r="T84" s="365"/>
      <c r="U84" s="365"/>
      <c r="V84" s="365"/>
    </row>
    <row r="85" spans="1:22" ht="43.5" x14ac:dyDescent="0.25">
      <c r="A85" s="365"/>
      <c r="B85" s="365"/>
      <c r="C85" s="273">
        <v>77</v>
      </c>
      <c r="D85" s="392">
        <f>VLOOKUP(Tabla132[[#This Row],[Código INDRA]],Tabla13[[Código Indra]:[ID2]],24,FALSE)</f>
        <v>69</v>
      </c>
      <c r="E85" s="394"/>
      <c r="F85" s="393">
        <v>45672</v>
      </c>
      <c r="G85" s="273" t="s">
        <v>25</v>
      </c>
      <c r="H85" s="275" t="s">
        <v>26</v>
      </c>
      <c r="I85" s="273" t="s">
        <v>3289</v>
      </c>
      <c r="J85" s="273" t="str">
        <f>VLOOKUP(Tabla132[[#This Row],[Código INDRA]],Tabla13[[Código Indra]:[ID2]],8,FALSE)</f>
        <v>mgomez</v>
      </c>
      <c r="K85" s="328"/>
      <c r="L85" s="275" t="s">
        <v>3311</v>
      </c>
      <c r="M85" s="328"/>
      <c r="N85" s="273"/>
      <c r="O85" s="385"/>
      <c r="P85" s="385"/>
      <c r="Q85" s="365"/>
      <c r="R85" s="365"/>
      <c r="S85" s="365"/>
      <c r="T85" s="365"/>
      <c r="U85" s="365"/>
      <c r="V85" s="365"/>
    </row>
    <row r="86" spans="1:22" ht="65.25" hidden="1" x14ac:dyDescent="0.25">
      <c r="A86" s="365"/>
      <c r="B86" s="365"/>
      <c r="C86" s="273">
        <v>78</v>
      </c>
      <c r="D86" s="392">
        <f>VLOOKUP(Tabla132[[#This Row],[Código INDRA]],Tabla13[[Código Indra]:[ID2]],24,FALSE)</f>
        <v>69</v>
      </c>
      <c r="E86" s="273"/>
      <c r="F86" s="393">
        <v>45672</v>
      </c>
      <c r="G86" s="273" t="s">
        <v>25</v>
      </c>
      <c r="H86" s="275" t="s">
        <v>26</v>
      </c>
      <c r="I86" s="273" t="s">
        <v>3289</v>
      </c>
      <c r="J86" s="273" t="str">
        <f>VLOOKUP(Tabla132[[#This Row],[Código INDRA]],Tabla13[[Código Indra]:[ID2]],8,FALSE)</f>
        <v>mgomez</v>
      </c>
      <c r="K86" s="273" t="s">
        <v>1436</v>
      </c>
      <c r="L86" s="275" t="s">
        <v>1710</v>
      </c>
      <c r="M86" s="273"/>
      <c r="N86" s="328"/>
      <c r="O86" s="328"/>
      <c r="P86" s="328"/>
      <c r="Q86" s="365"/>
      <c r="R86" s="365"/>
      <c r="S86" s="365"/>
      <c r="T86" s="365"/>
      <c r="U86" s="365"/>
      <c r="V86" s="365"/>
    </row>
    <row r="87" spans="1:22" ht="43.5" hidden="1" x14ac:dyDescent="0.25">
      <c r="A87" s="365"/>
      <c r="B87" s="365"/>
      <c r="C87" s="273">
        <v>79</v>
      </c>
      <c r="D87" s="392">
        <f>VLOOKUP(Tabla132[[#This Row],[Código INDRA]],Tabla13[[Código Indra]:[ID2]],24,FALSE)</f>
        <v>69</v>
      </c>
      <c r="E87" s="394"/>
      <c r="F87" s="393">
        <v>45672</v>
      </c>
      <c r="G87" s="273" t="s">
        <v>25</v>
      </c>
      <c r="H87" s="275" t="s">
        <v>26</v>
      </c>
      <c r="I87" s="273" t="s">
        <v>3289</v>
      </c>
      <c r="J87" s="273" t="str">
        <f>VLOOKUP(Tabla132[[#This Row],[Código INDRA]],Tabla13[[Código Indra]:[ID2]],8,FALSE)</f>
        <v>mgomez</v>
      </c>
      <c r="K87" s="328" t="s">
        <v>1436</v>
      </c>
      <c r="L87" s="275" t="s">
        <v>1711</v>
      </c>
      <c r="M87" s="328"/>
      <c r="N87" s="273"/>
      <c r="O87" s="385"/>
      <c r="P87" s="385"/>
      <c r="Q87" s="365"/>
      <c r="R87" s="365"/>
      <c r="S87" s="365"/>
      <c r="T87" s="365"/>
      <c r="U87" s="365"/>
      <c r="V87" s="365"/>
    </row>
    <row r="88" spans="1:22" ht="87" x14ac:dyDescent="0.25">
      <c r="A88" s="365"/>
      <c r="B88" s="365"/>
      <c r="C88" s="273">
        <v>80</v>
      </c>
      <c r="D88" s="392">
        <f>VLOOKUP(Tabla132[[#This Row],[Código INDRA]],Tabla13[[Código Indra]:[ID2]],24,FALSE)</f>
        <v>69</v>
      </c>
      <c r="E88" s="273"/>
      <c r="F88" s="393">
        <v>45672</v>
      </c>
      <c r="G88" s="273" t="s">
        <v>25</v>
      </c>
      <c r="H88" s="275" t="s">
        <v>26</v>
      </c>
      <c r="I88" s="273" t="s">
        <v>3298</v>
      </c>
      <c r="J88" s="273" t="str">
        <f>VLOOKUP(Tabla132[[#This Row],[Código INDRA]],Tabla13[[Código Indra]:[ID2]],8,FALSE)</f>
        <v>mgomez</v>
      </c>
      <c r="K88" s="273"/>
      <c r="L88" s="275" t="s">
        <v>3312</v>
      </c>
      <c r="M88" s="273"/>
      <c r="N88" s="328"/>
      <c r="O88" s="328"/>
      <c r="P88" s="328"/>
      <c r="Q88" s="365"/>
      <c r="R88" s="365"/>
      <c r="S88" s="365"/>
      <c r="T88" s="365"/>
      <c r="U88" s="365"/>
      <c r="V88" s="365"/>
    </row>
    <row r="89" spans="1:22" ht="43.5" x14ac:dyDescent="0.25">
      <c r="A89" s="365"/>
      <c r="B89" s="365"/>
      <c r="C89" s="273">
        <v>81</v>
      </c>
      <c r="D89" s="392">
        <f>VLOOKUP(Tabla132[[#This Row],[Código INDRA]],Tabla13[[Código Indra]:[ID2]],24,FALSE)</f>
        <v>69</v>
      </c>
      <c r="E89" s="394"/>
      <c r="F89" s="393">
        <v>45672</v>
      </c>
      <c r="G89" s="273" t="s">
        <v>25</v>
      </c>
      <c r="H89" s="275" t="s">
        <v>26</v>
      </c>
      <c r="I89" s="273" t="s">
        <v>3298</v>
      </c>
      <c r="J89" s="273" t="str">
        <f>VLOOKUP(Tabla132[[#This Row],[Código INDRA]],Tabla13[[Código Indra]:[ID2]],8,FALSE)</f>
        <v>mgomez</v>
      </c>
      <c r="K89" s="328"/>
      <c r="L89" s="275" t="s">
        <v>3307</v>
      </c>
      <c r="M89" s="328"/>
      <c r="N89" s="273"/>
      <c r="O89" s="385"/>
      <c r="P89" s="385"/>
      <c r="Q89" s="365"/>
      <c r="R89" s="365"/>
      <c r="S89" s="365"/>
      <c r="T89" s="365"/>
      <c r="U89" s="365"/>
      <c r="V89" s="365"/>
    </row>
    <row r="90" spans="1:22" ht="21.75" x14ac:dyDescent="0.25">
      <c r="A90" s="365"/>
      <c r="B90" s="365"/>
      <c r="C90" s="273">
        <v>82</v>
      </c>
      <c r="D90" s="392">
        <f>VLOOKUP(Tabla132[[#This Row],[Código INDRA]],Tabla13[[Código Indra]:[ID2]],24,FALSE)</f>
        <v>69</v>
      </c>
      <c r="E90" s="273"/>
      <c r="F90" s="393">
        <v>45672</v>
      </c>
      <c r="G90" s="273" t="s">
        <v>25</v>
      </c>
      <c r="H90" s="275" t="s">
        <v>26</v>
      </c>
      <c r="I90" s="273" t="s">
        <v>3290</v>
      </c>
      <c r="J90" s="273" t="str">
        <f>VLOOKUP(Tabla132[[#This Row],[Código INDRA]],Tabla13[[Código Indra]:[ID2]],8,FALSE)</f>
        <v>mgomez</v>
      </c>
      <c r="K90" s="273"/>
      <c r="L90" s="275" t="s">
        <v>3313</v>
      </c>
      <c r="M90" s="273"/>
      <c r="N90" s="328"/>
      <c r="O90" s="328"/>
      <c r="P90" s="328"/>
      <c r="Q90" s="365"/>
      <c r="R90" s="365"/>
      <c r="S90" s="365"/>
      <c r="T90" s="365"/>
      <c r="U90" s="365"/>
      <c r="V90" s="365"/>
    </row>
    <row r="91" spans="1:22" ht="21.75" x14ac:dyDescent="0.25">
      <c r="A91" s="365"/>
      <c r="B91" s="365"/>
      <c r="C91" s="273">
        <v>83</v>
      </c>
      <c r="D91" s="392">
        <f>VLOOKUP(Tabla132[[#This Row],[Código INDRA]],Tabla13[[Código Indra]:[ID2]],24,FALSE)</f>
        <v>69</v>
      </c>
      <c r="E91" s="394"/>
      <c r="F91" s="393">
        <v>45672</v>
      </c>
      <c r="G91" s="273" t="s">
        <v>25</v>
      </c>
      <c r="H91" s="275" t="s">
        <v>26</v>
      </c>
      <c r="I91" s="273" t="s">
        <v>3314</v>
      </c>
      <c r="J91" s="273" t="str">
        <f>VLOOKUP(Tabla132[[#This Row],[Código INDRA]],Tabla13[[Código Indra]:[ID2]],8,FALSE)</f>
        <v>mgomez</v>
      </c>
      <c r="K91" s="328"/>
      <c r="L91" s="275" t="s">
        <v>3315</v>
      </c>
      <c r="M91" s="328"/>
      <c r="N91" s="273"/>
      <c r="O91" s="385" t="s">
        <v>3293</v>
      </c>
      <c r="P91" s="385"/>
      <c r="Q91" s="365"/>
      <c r="R91" s="365"/>
      <c r="S91" s="365"/>
      <c r="T91" s="365"/>
      <c r="U91" s="365"/>
      <c r="V91" s="365"/>
    </row>
    <row r="92" spans="1:22" ht="130.5" hidden="1" x14ac:dyDescent="0.25">
      <c r="A92" s="365"/>
      <c r="B92" s="365"/>
      <c r="C92" s="273">
        <v>84</v>
      </c>
      <c r="D92" s="392">
        <f>VLOOKUP(Tabla132[[#This Row],[Código INDRA]],Tabla13[[Código Indra]:[ID2]],24,FALSE)</f>
        <v>69</v>
      </c>
      <c r="E92" s="273"/>
      <c r="F92" s="393">
        <v>45672</v>
      </c>
      <c r="G92" s="273" t="s">
        <v>25</v>
      </c>
      <c r="H92" s="275" t="s">
        <v>26</v>
      </c>
      <c r="I92" s="273" t="s">
        <v>3289</v>
      </c>
      <c r="J92" s="273" t="str">
        <f>VLOOKUP(Tabla132[[#This Row],[Código INDRA]],Tabla13[[Código Indra]:[ID2]],8,FALSE)</f>
        <v>mgomez</v>
      </c>
      <c r="K92" s="273" t="s">
        <v>1436</v>
      </c>
      <c r="L92" s="275" t="s">
        <v>1712</v>
      </c>
      <c r="M92" s="273" t="s">
        <v>1713</v>
      </c>
      <c r="N92" s="328">
        <v>45695</v>
      </c>
      <c r="O92" s="328" t="s">
        <v>6</v>
      </c>
      <c r="P92" s="328" t="s">
        <v>1451</v>
      </c>
      <c r="Q92" s="365"/>
      <c r="R92" s="365"/>
      <c r="S92" s="365"/>
      <c r="T92" s="365"/>
      <c r="U92" s="365"/>
      <c r="V92" s="365"/>
    </row>
    <row r="93" spans="1:22" ht="65.25" hidden="1" x14ac:dyDescent="0.25">
      <c r="A93" s="365"/>
      <c r="B93" s="365"/>
      <c r="C93" s="273">
        <v>85</v>
      </c>
      <c r="D93" s="392">
        <f>VLOOKUP(Tabla132[[#This Row],[Código INDRA]],Tabla13[[Código Indra]:[ID2]],24,FALSE)</f>
        <v>70</v>
      </c>
      <c r="E93" s="394"/>
      <c r="F93" s="393">
        <v>45593</v>
      </c>
      <c r="G93" s="273" t="s">
        <v>417</v>
      </c>
      <c r="H93" s="275" t="s">
        <v>418</v>
      </c>
      <c r="I93" s="273" t="s">
        <v>3316</v>
      </c>
      <c r="J93" s="273" t="str">
        <f>VLOOKUP(Tabla132[[#This Row],[Código INDRA]],Tabla13[[Código Indra]:[ID2]],8,FALSE)</f>
        <v>mgomez</v>
      </c>
      <c r="K93" s="328" t="s">
        <v>1436</v>
      </c>
      <c r="L93" s="275" t="s">
        <v>1714</v>
      </c>
      <c r="M93" s="328" t="s">
        <v>1715</v>
      </c>
      <c r="N93" s="273"/>
      <c r="O93" s="385" t="s">
        <v>6</v>
      </c>
      <c r="P93" s="385" t="s">
        <v>1451</v>
      </c>
      <c r="Q93" s="365"/>
      <c r="R93" s="365"/>
      <c r="S93" s="365"/>
      <c r="T93" s="365"/>
      <c r="U93" s="365"/>
      <c r="V93" s="365"/>
    </row>
    <row r="94" spans="1:22" ht="43.5" hidden="1" x14ac:dyDescent="0.25">
      <c r="A94" s="365"/>
      <c r="B94" s="365"/>
      <c r="C94" s="273">
        <v>86</v>
      </c>
      <c r="D94" s="392">
        <f>VLOOKUP(Tabla132[[#This Row],[Código INDRA]],Tabla13[[Código Indra]:[ID2]],24,FALSE)</f>
        <v>71</v>
      </c>
      <c r="E94" s="273"/>
      <c r="F94" s="393">
        <v>45630</v>
      </c>
      <c r="G94" s="273" t="s">
        <v>421</v>
      </c>
      <c r="H94" s="275" t="s">
        <v>1716</v>
      </c>
      <c r="I94" s="273" t="s">
        <v>3296</v>
      </c>
      <c r="J94" s="273" t="str">
        <f>VLOOKUP(Tabla132[[#This Row],[Código INDRA]],Tabla13[[Código Indra]:[ID2]],8,FALSE)</f>
        <v>mgomez</v>
      </c>
      <c r="K94" s="273" t="s">
        <v>1436</v>
      </c>
      <c r="L94" s="275" t="s">
        <v>1717</v>
      </c>
      <c r="M94" s="273" t="s">
        <v>1718</v>
      </c>
      <c r="N94" s="328"/>
      <c r="O94" s="328" t="s">
        <v>6</v>
      </c>
      <c r="P94" s="328" t="s">
        <v>1451</v>
      </c>
      <c r="Q94" s="365"/>
      <c r="R94" s="365"/>
      <c r="S94" s="365"/>
      <c r="T94" s="365"/>
      <c r="U94" s="365"/>
      <c r="V94" s="365"/>
    </row>
    <row r="95" spans="1:22" ht="65.25" hidden="1" x14ac:dyDescent="0.25">
      <c r="A95" s="365"/>
      <c r="B95" s="365"/>
      <c r="C95" s="273">
        <v>87</v>
      </c>
      <c r="D95" s="392">
        <f>VLOOKUP(Tabla132[[#This Row],[Código INDRA]],Tabla13[[Código Indra]:[ID2]],24,FALSE)</f>
        <v>72</v>
      </c>
      <c r="E95" s="394"/>
      <c r="F95" s="393">
        <v>45610</v>
      </c>
      <c r="G95" s="273" t="s">
        <v>967</v>
      </c>
      <c r="H95" s="275" t="s">
        <v>1719</v>
      </c>
      <c r="I95" s="273" t="s">
        <v>3300</v>
      </c>
      <c r="J95" s="273" t="str">
        <f>VLOOKUP(Tabla132[[#This Row],[Código INDRA]],Tabla13[[Código Indra]:[ID2]],8,FALSE)</f>
        <v>adalvarezm</v>
      </c>
      <c r="K95" s="328" t="s">
        <v>1436</v>
      </c>
      <c r="L95" s="275" t="s">
        <v>1720</v>
      </c>
      <c r="M95" s="328" t="s">
        <v>1721</v>
      </c>
      <c r="N95" s="273"/>
      <c r="O95" s="385"/>
      <c r="P95" s="385"/>
      <c r="Q95" s="365"/>
      <c r="R95" s="365"/>
      <c r="S95" s="365"/>
      <c r="T95" s="365"/>
      <c r="U95" s="365"/>
      <c r="V95" s="365"/>
    </row>
    <row r="96" spans="1:22" ht="87" hidden="1" x14ac:dyDescent="0.25">
      <c r="A96" s="365"/>
      <c r="B96" s="365"/>
      <c r="C96" s="273">
        <v>88</v>
      </c>
      <c r="D96" s="392">
        <f>VLOOKUP(Tabla132[[#This Row],[Código INDRA]],Tabla13[[Código Indra]:[ID2]],24,FALSE)</f>
        <v>75</v>
      </c>
      <c r="E96" s="273"/>
      <c r="F96" s="393">
        <v>45614</v>
      </c>
      <c r="G96" s="273" t="s">
        <v>425</v>
      </c>
      <c r="H96" s="275" t="s">
        <v>426</v>
      </c>
      <c r="I96" s="273" t="s">
        <v>3296</v>
      </c>
      <c r="J96" s="273" t="str">
        <f>VLOOKUP(Tabla132[[#This Row],[Código INDRA]],Tabla13[[Código Indra]:[ID2]],8,FALSE)</f>
        <v>mgomez</v>
      </c>
      <c r="K96" s="273" t="s">
        <v>1436</v>
      </c>
      <c r="L96" s="275" t="s">
        <v>1724</v>
      </c>
      <c r="M96" s="273" t="s">
        <v>1725</v>
      </c>
      <c r="N96" s="328"/>
      <c r="O96" s="328" t="s">
        <v>6</v>
      </c>
      <c r="P96" s="328" t="s">
        <v>1451</v>
      </c>
      <c r="Q96" s="365"/>
      <c r="R96" s="365"/>
      <c r="S96" s="365"/>
      <c r="T96" s="365"/>
      <c r="U96" s="365"/>
      <c r="V96" s="365"/>
    </row>
    <row r="97" spans="1:22" ht="65.25" hidden="1" x14ac:dyDescent="0.25">
      <c r="A97" s="365"/>
      <c r="B97" s="365"/>
      <c r="C97" s="273">
        <v>89</v>
      </c>
      <c r="D97" s="392">
        <f>VLOOKUP(Tabla132[[#This Row],[Código INDRA]],Tabla13[[Código Indra]:[ID2]],24,FALSE)</f>
        <v>76</v>
      </c>
      <c r="E97" s="394"/>
      <c r="F97" s="393">
        <v>45610</v>
      </c>
      <c r="G97" s="273" t="s">
        <v>970</v>
      </c>
      <c r="H97" s="275" t="s">
        <v>971</v>
      </c>
      <c r="I97" s="273" t="s">
        <v>3300</v>
      </c>
      <c r="J97" s="273" t="str">
        <f>VLOOKUP(Tabla132[[#This Row],[Código INDRA]],Tabla13[[Código Indra]:[ID2]],8,FALSE)</f>
        <v>adalvarezm</v>
      </c>
      <c r="K97" s="328" t="s">
        <v>1436</v>
      </c>
      <c r="L97" s="275" t="s">
        <v>1720</v>
      </c>
      <c r="M97" s="328" t="s">
        <v>1721</v>
      </c>
      <c r="N97" s="273"/>
      <c r="O97" s="385"/>
      <c r="P97" s="385"/>
      <c r="Q97" s="365"/>
      <c r="R97" s="365"/>
      <c r="S97" s="365"/>
      <c r="T97" s="365"/>
      <c r="U97" s="365"/>
      <c r="V97" s="365"/>
    </row>
    <row r="98" spans="1:22" ht="65.25" hidden="1" x14ac:dyDescent="0.25">
      <c r="A98" s="365"/>
      <c r="B98" s="365"/>
      <c r="C98" s="273">
        <v>90</v>
      </c>
      <c r="D98" s="392">
        <f>VLOOKUP(Tabla132[[#This Row],[Código INDRA]],Tabla13[[Código Indra]:[ID2]],24,FALSE)</f>
        <v>77</v>
      </c>
      <c r="E98" s="273"/>
      <c r="F98" s="393">
        <v>45610</v>
      </c>
      <c r="G98" s="273" t="s">
        <v>976</v>
      </c>
      <c r="H98" s="275" t="s">
        <v>977</v>
      </c>
      <c r="I98" s="273" t="s">
        <v>3300</v>
      </c>
      <c r="J98" s="273" t="str">
        <f>VLOOKUP(Tabla132[[#This Row],[Código INDRA]],Tabla13[[Código Indra]:[ID2]],8,FALSE)</f>
        <v>adalvarezm</v>
      </c>
      <c r="K98" s="273" t="s">
        <v>1436</v>
      </c>
      <c r="L98" s="275" t="s">
        <v>1720</v>
      </c>
      <c r="M98" s="273" t="s">
        <v>1721</v>
      </c>
      <c r="N98" s="328"/>
      <c r="O98" s="328"/>
      <c r="P98" s="328"/>
      <c r="Q98" s="365"/>
      <c r="R98" s="365"/>
      <c r="S98" s="365"/>
      <c r="T98" s="365"/>
      <c r="U98" s="365"/>
      <c r="V98" s="365"/>
    </row>
    <row r="99" spans="1:22" ht="65.25" hidden="1" x14ac:dyDescent="0.25">
      <c r="A99" s="365"/>
      <c r="B99" s="365"/>
      <c r="C99" s="273">
        <v>91</v>
      </c>
      <c r="D99" s="392">
        <f>VLOOKUP(Tabla132[[#This Row],[Código INDRA]],Tabla13[[Código Indra]:[ID2]],24,FALSE)</f>
        <v>78</v>
      </c>
      <c r="E99" s="394"/>
      <c r="F99" s="393">
        <v>45672</v>
      </c>
      <c r="G99" s="273" t="s">
        <v>430</v>
      </c>
      <c r="H99" s="275" t="s">
        <v>431</v>
      </c>
      <c r="I99" s="273" t="s">
        <v>3296</v>
      </c>
      <c r="J99" s="273" t="str">
        <f>VLOOKUP(Tabla132[[#This Row],[Código INDRA]],Tabla13[[Código Indra]:[ID2]],8,FALSE)</f>
        <v>adalvarezm</v>
      </c>
      <c r="K99" s="328" t="s">
        <v>1436</v>
      </c>
      <c r="L99" s="275" t="s">
        <v>1726</v>
      </c>
      <c r="M99" s="328" t="s">
        <v>1721</v>
      </c>
      <c r="N99" s="273"/>
      <c r="O99" s="385"/>
      <c r="P99" s="385"/>
      <c r="Q99" s="365"/>
      <c r="R99" s="365"/>
      <c r="S99" s="365"/>
      <c r="T99" s="365"/>
      <c r="U99" s="365"/>
      <c r="V99" s="365"/>
    </row>
    <row r="100" spans="1:22" ht="65.25" hidden="1" x14ac:dyDescent="0.25">
      <c r="A100" s="365"/>
      <c r="B100" s="365"/>
      <c r="C100" s="273">
        <v>92</v>
      </c>
      <c r="D100" s="392" t="e">
        <f>VLOOKUP(Tabla132[[#This Row],[Código INDRA]],Tabla13[[Código Indra]:[ID2]],24,FALSE)</f>
        <v>#N/A</v>
      </c>
      <c r="E100" s="273"/>
      <c r="F100" s="393">
        <v>45610</v>
      </c>
      <c r="G100" s="273" t="s">
        <v>973</v>
      </c>
      <c r="H100" s="275" t="s">
        <v>974</v>
      </c>
      <c r="I100" s="273" t="s">
        <v>3300</v>
      </c>
      <c r="J100" s="273" t="e">
        <f>VLOOKUP(Tabla132[[#This Row],[Código INDRA]],Tabla13[[Código Indra]:[ID2]],8,FALSE)</f>
        <v>#N/A</v>
      </c>
      <c r="K100" s="273" t="s">
        <v>1436</v>
      </c>
      <c r="L100" s="275" t="s">
        <v>1720</v>
      </c>
      <c r="M100" s="273" t="s">
        <v>1721</v>
      </c>
      <c r="N100" s="328"/>
      <c r="O100" s="328"/>
      <c r="P100" s="328"/>
      <c r="Q100" s="365"/>
      <c r="R100" s="365"/>
      <c r="S100" s="365"/>
      <c r="T100" s="365"/>
      <c r="U100" s="365"/>
      <c r="V100" s="365"/>
    </row>
    <row r="101" spans="1:22" ht="409.5" hidden="1" x14ac:dyDescent="0.25">
      <c r="A101" s="365"/>
      <c r="B101" s="365"/>
      <c r="C101" s="273">
        <v>93</v>
      </c>
      <c r="D101" s="392">
        <f>VLOOKUP(Tabla132[[#This Row],[Código INDRA]],Tabla13[[Código Indra]:[ID2]],24,FALSE)</f>
        <v>80</v>
      </c>
      <c r="E101" s="394"/>
      <c r="F101" s="393">
        <v>45672</v>
      </c>
      <c r="G101" s="273" t="s">
        <v>56</v>
      </c>
      <c r="H101" s="275" t="s">
        <v>57</v>
      </c>
      <c r="I101" s="273" t="s">
        <v>3317</v>
      </c>
      <c r="J101" s="273" t="str">
        <f>VLOOKUP(Tabla132[[#This Row],[Código INDRA]],Tabla13[[Código Indra]:[ID2]],8,FALSE)</f>
        <v>adalvarezm</v>
      </c>
      <c r="K101" s="328" t="s">
        <v>1436</v>
      </c>
      <c r="L101" s="275" t="s">
        <v>1729</v>
      </c>
      <c r="M101" s="328" t="s">
        <v>3318</v>
      </c>
      <c r="N101" s="273"/>
      <c r="O101" s="385" t="s">
        <v>6</v>
      </c>
      <c r="P101" s="385" t="s">
        <v>1451</v>
      </c>
      <c r="Q101" s="365"/>
      <c r="R101" s="365"/>
      <c r="S101" s="365"/>
      <c r="T101" s="365"/>
      <c r="U101" s="365"/>
      <c r="V101" s="365"/>
    </row>
    <row r="102" spans="1:22" ht="65.25" hidden="1" x14ac:dyDescent="0.25">
      <c r="A102" s="365"/>
      <c r="B102" s="365"/>
      <c r="C102" s="273">
        <v>94</v>
      </c>
      <c r="D102" s="392">
        <f>VLOOKUP(Tabla132[[#This Row],[Código INDRA]],Tabla13[[Código Indra]:[ID2]],24,FALSE)</f>
        <v>81</v>
      </c>
      <c r="E102" s="273"/>
      <c r="F102" s="393">
        <v>45630</v>
      </c>
      <c r="G102" s="273" t="s">
        <v>1267</v>
      </c>
      <c r="H102" s="275" t="s">
        <v>1268</v>
      </c>
      <c r="I102" s="273" t="s">
        <v>3298</v>
      </c>
      <c r="J102" s="273" t="str">
        <f>VLOOKUP(Tabla132[[#This Row],[Código INDRA]],Tabla13[[Código Indra]:[ID2]],8,FALSE)</f>
        <v>adalvarezm</v>
      </c>
      <c r="K102" s="273" t="s">
        <v>1436</v>
      </c>
      <c r="L102" s="275" t="s">
        <v>1730</v>
      </c>
      <c r="M102" s="273" t="s">
        <v>1721</v>
      </c>
      <c r="N102" s="328"/>
      <c r="O102" s="328" t="s">
        <v>1451</v>
      </c>
      <c r="P102" s="328" t="s">
        <v>3293</v>
      </c>
      <c r="Q102" s="365"/>
      <c r="R102" s="365"/>
      <c r="S102" s="365"/>
      <c r="T102" s="365"/>
      <c r="U102" s="365"/>
      <c r="V102" s="365"/>
    </row>
    <row r="103" spans="1:22" ht="65.25" hidden="1" x14ac:dyDescent="0.25">
      <c r="A103" s="365"/>
      <c r="B103" s="365"/>
      <c r="C103" s="273">
        <v>95</v>
      </c>
      <c r="D103" s="392">
        <f>VLOOKUP(Tabla132[[#This Row],[Código INDRA]],Tabla13[[Código Indra]:[ID2]],24,FALSE)</f>
        <v>82</v>
      </c>
      <c r="E103" s="394"/>
      <c r="F103" s="393">
        <v>45630</v>
      </c>
      <c r="G103" s="273" t="s">
        <v>1272</v>
      </c>
      <c r="H103" s="275" t="s">
        <v>1273</v>
      </c>
      <c r="I103" s="273" t="s">
        <v>3298</v>
      </c>
      <c r="J103" s="273" t="str">
        <f>VLOOKUP(Tabla132[[#This Row],[Código INDRA]],Tabla13[[Código Indra]:[ID2]],8,FALSE)</f>
        <v>adalvarezm</v>
      </c>
      <c r="K103" s="328" t="s">
        <v>1436</v>
      </c>
      <c r="L103" s="275" t="s">
        <v>1730</v>
      </c>
      <c r="M103" s="328" t="s">
        <v>1721</v>
      </c>
      <c r="N103" s="273"/>
      <c r="O103" s="385" t="s">
        <v>1451</v>
      </c>
      <c r="P103" s="385" t="s">
        <v>3293</v>
      </c>
      <c r="Q103" s="365"/>
      <c r="R103" s="365"/>
      <c r="S103" s="365"/>
      <c r="T103" s="365"/>
      <c r="U103" s="365"/>
      <c r="V103" s="365"/>
    </row>
    <row r="104" spans="1:22" ht="65.25" hidden="1" x14ac:dyDescent="0.25">
      <c r="A104" s="365"/>
      <c r="B104" s="365"/>
      <c r="C104" s="273">
        <v>96</v>
      </c>
      <c r="D104" s="392">
        <f>VLOOKUP(Tabla132[[#This Row],[Código INDRA]],Tabla13[[Código Indra]:[ID2]],24,FALSE)</f>
        <v>83</v>
      </c>
      <c r="E104" s="273"/>
      <c r="F104" s="393">
        <v>45630</v>
      </c>
      <c r="G104" s="273" t="s">
        <v>1275</v>
      </c>
      <c r="H104" s="275" t="s">
        <v>1276</v>
      </c>
      <c r="I104" s="273" t="s">
        <v>3298</v>
      </c>
      <c r="J104" s="273" t="str">
        <f>VLOOKUP(Tabla132[[#This Row],[Código INDRA]],Tabla13[[Código Indra]:[ID2]],8,FALSE)</f>
        <v>adalvarezm</v>
      </c>
      <c r="K104" s="273" t="s">
        <v>1436</v>
      </c>
      <c r="L104" s="275" t="s">
        <v>1730</v>
      </c>
      <c r="M104" s="273" t="s">
        <v>1721</v>
      </c>
      <c r="N104" s="328"/>
      <c r="O104" s="328" t="s">
        <v>6</v>
      </c>
      <c r="P104" s="328" t="s">
        <v>1451</v>
      </c>
      <c r="Q104" s="365"/>
      <c r="R104" s="365"/>
      <c r="S104" s="365"/>
      <c r="T104" s="365"/>
      <c r="U104" s="365"/>
      <c r="V104" s="365"/>
    </row>
    <row r="105" spans="1:22" ht="87" hidden="1" x14ac:dyDescent="0.25">
      <c r="A105" s="365"/>
      <c r="B105" s="365"/>
      <c r="C105" s="273">
        <v>97</v>
      </c>
      <c r="D105" s="392">
        <f>VLOOKUP(Tabla132[[#This Row],[Código INDRA]],Tabla13[[Código Indra]:[ID2]],24,FALSE)</f>
        <v>84</v>
      </c>
      <c r="E105" s="394"/>
      <c r="F105" s="393">
        <v>45679</v>
      </c>
      <c r="G105" s="273" t="s">
        <v>1278</v>
      </c>
      <c r="H105" s="275" t="s">
        <v>1279</v>
      </c>
      <c r="I105" s="273" t="s">
        <v>3298</v>
      </c>
      <c r="J105" s="273" t="str">
        <f>VLOOKUP(Tabla132[[#This Row],[Código INDRA]],Tabla13[[Código Indra]:[ID2]],8,FALSE)</f>
        <v>adalvarezm</v>
      </c>
      <c r="K105" s="328" t="s">
        <v>1436</v>
      </c>
      <c r="L105" s="275" t="s">
        <v>1731</v>
      </c>
      <c r="M105" s="328" t="s">
        <v>1721</v>
      </c>
      <c r="N105" s="273"/>
      <c r="O105" s="385"/>
      <c r="P105" s="385"/>
      <c r="Q105" s="365"/>
      <c r="R105" s="365"/>
      <c r="S105" s="365"/>
      <c r="T105" s="365"/>
      <c r="U105" s="365"/>
      <c r="V105" s="365"/>
    </row>
    <row r="106" spans="1:22" ht="130.5" hidden="1" x14ac:dyDescent="0.25">
      <c r="A106" s="365"/>
      <c r="B106" s="365"/>
      <c r="C106" s="273">
        <v>98</v>
      </c>
      <c r="D106" s="392">
        <f>VLOOKUP(Tabla132[[#This Row],[Código INDRA]],Tabla13[[Código Indra]:[ID2]],24,FALSE)</f>
        <v>85</v>
      </c>
      <c r="E106" s="273"/>
      <c r="F106" s="393">
        <v>45679</v>
      </c>
      <c r="G106" s="273" t="s">
        <v>1311</v>
      </c>
      <c r="H106" s="275" t="s">
        <v>1312</v>
      </c>
      <c r="I106" s="273" t="s">
        <v>3298</v>
      </c>
      <c r="J106" s="273" t="str">
        <f>VLOOKUP(Tabla132[[#This Row],[Código INDRA]],Tabla13[[Código Indra]:[ID2]],8,FALSE)</f>
        <v>adalvarezm</v>
      </c>
      <c r="K106" s="273" t="s">
        <v>1436</v>
      </c>
      <c r="L106" s="275" t="s">
        <v>1732</v>
      </c>
      <c r="M106" s="273" t="s">
        <v>1721</v>
      </c>
      <c r="N106" s="328"/>
      <c r="O106" s="328"/>
      <c r="P106" s="328"/>
      <c r="Q106" s="365"/>
      <c r="R106" s="365"/>
      <c r="S106" s="365"/>
      <c r="T106" s="365"/>
      <c r="U106" s="365"/>
      <c r="V106" s="365"/>
    </row>
    <row r="107" spans="1:22" ht="43.5" hidden="1" x14ac:dyDescent="0.25">
      <c r="A107" s="365"/>
      <c r="B107" s="365"/>
      <c r="C107" s="273">
        <v>99</v>
      </c>
      <c r="D107" s="392">
        <f>VLOOKUP(Tabla132[[#This Row],[Código INDRA]],Tabla13[[Código Indra]:[ID2]],24,FALSE)</f>
        <v>86</v>
      </c>
      <c r="E107" s="394"/>
      <c r="F107" s="393">
        <v>45636</v>
      </c>
      <c r="G107" s="273" t="s">
        <v>1319</v>
      </c>
      <c r="H107" s="275" t="s">
        <v>1320</v>
      </c>
      <c r="I107" s="273" t="s">
        <v>3290</v>
      </c>
      <c r="J107" s="273" t="str">
        <f>VLOOKUP(Tabla132[[#This Row],[Código INDRA]],Tabla13[[Código Indra]:[ID2]],8,FALSE)</f>
        <v>adalvarezm</v>
      </c>
      <c r="K107" s="328" t="s">
        <v>1436</v>
      </c>
      <c r="L107" s="275" t="s">
        <v>1733</v>
      </c>
      <c r="M107" s="328" t="s">
        <v>1660</v>
      </c>
      <c r="N107" s="273"/>
      <c r="O107" s="385"/>
      <c r="P107" s="385"/>
      <c r="Q107" s="365"/>
      <c r="R107" s="365"/>
      <c r="S107" s="365"/>
      <c r="T107" s="365"/>
      <c r="U107" s="365"/>
      <c r="V107" s="365"/>
    </row>
    <row r="108" spans="1:22" ht="108.75" hidden="1" x14ac:dyDescent="0.25">
      <c r="A108" s="365"/>
      <c r="B108" s="365"/>
      <c r="C108" s="273">
        <v>100</v>
      </c>
      <c r="D108" s="392">
        <f>VLOOKUP(Tabla132[[#This Row],[Código INDRA]],Tabla13[[Código Indra]:[ID2]],24,FALSE)</f>
        <v>87</v>
      </c>
      <c r="E108" s="273"/>
      <c r="F108" s="393">
        <v>45672</v>
      </c>
      <c r="G108" s="273" t="s">
        <v>471</v>
      </c>
      <c r="H108" s="275" t="s">
        <v>65</v>
      </c>
      <c r="I108" s="273" t="s">
        <v>3298</v>
      </c>
      <c r="J108" s="273" t="str">
        <f>VLOOKUP(Tabla132[[#This Row],[Código INDRA]],Tabla13[[Código Indra]:[ID2]],8,FALSE)</f>
        <v>mgomez</v>
      </c>
      <c r="K108" s="273" t="s">
        <v>1436</v>
      </c>
      <c r="L108" s="275" t="s">
        <v>1734</v>
      </c>
      <c r="M108" s="273" t="s">
        <v>1735</v>
      </c>
      <c r="N108" s="328"/>
      <c r="O108" s="328"/>
      <c r="P108" s="328"/>
      <c r="Q108" s="365"/>
      <c r="R108" s="365"/>
      <c r="S108" s="365"/>
      <c r="T108" s="365"/>
      <c r="U108" s="365"/>
      <c r="V108" s="365"/>
    </row>
    <row r="109" spans="1:22" ht="304.5" hidden="1" x14ac:dyDescent="0.25">
      <c r="A109" s="365"/>
      <c r="B109" s="365"/>
      <c r="C109" s="273">
        <v>101</v>
      </c>
      <c r="D109" s="392">
        <f>VLOOKUP(Tabla132[[#This Row],[Código INDRA]],Tabla13[[Código Indra]:[ID2]],24,FALSE)</f>
        <v>88</v>
      </c>
      <c r="E109" s="394"/>
      <c r="F109" s="393">
        <v>45630</v>
      </c>
      <c r="G109" s="273" t="s">
        <v>476</v>
      </c>
      <c r="H109" s="275" t="s">
        <v>477</v>
      </c>
      <c r="I109" s="273" t="s">
        <v>3298</v>
      </c>
      <c r="J109" s="273" t="str">
        <f>VLOOKUP(Tabla132[[#This Row],[Código INDRA]],Tabla13[[Código Indra]:[ID2]],8,FALSE)</f>
        <v>mgomez</v>
      </c>
      <c r="K109" s="328" t="s">
        <v>1436</v>
      </c>
      <c r="L109" s="275" t="s">
        <v>1736</v>
      </c>
      <c r="M109" s="328" t="s">
        <v>1737</v>
      </c>
      <c r="N109" s="273"/>
      <c r="O109" s="385"/>
      <c r="P109" s="385"/>
      <c r="Q109" s="365"/>
      <c r="R109" s="365"/>
      <c r="S109" s="365"/>
      <c r="T109" s="365"/>
      <c r="U109" s="365"/>
      <c r="V109" s="365"/>
    </row>
    <row r="110" spans="1:22" ht="239.25" hidden="1" x14ac:dyDescent="0.25">
      <c r="A110" s="365"/>
      <c r="B110" s="365"/>
      <c r="C110" s="273">
        <v>102</v>
      </c>
      <c r="D110" s="392">
        <f>VLOOKUP(Tabla132[[#This Row],[Código INDRA]],Tabla13[[Código Indra]:[ID2]],24,FALSE)</f>
        <v>89</v>
      </c>
      <c r="E110" s="273"/>
      <c r="F110" s="393">
        <v>45630</v>
      </c>
      <c r="G110" s="273" t="s">
        <v>481</v>
      </c>
      <c r="H110" s="275" t="s">
        <v>482</v>
      </c>
      <c r="I110" s="273" t="s">
        <v>3298</v>
      </c>
      <c r="J110" s="273" t="str">
        <f>VLOOKUP(Tabla132[[#This Row],[Código INDRA]],Tabla13[[Código Indra]:[ID2]],8,FALSE)</f>
        <v>mgomez</v>
      </c>
      <c r="K110" s="273" t="s">
        <v>1436</v>
      </c>
      <c r="L110" s="275" t="s">
        <v>1738</v>
      </c>
      <c r="M110" s="273" t="s">
        <v>1739</v>
      </c>
      <c r="N110" s="328"/>
      <c r="O110" s="328"/>
      <c r="P110" s="328"/>
      <c r="Q110" s="365"/>
      <c r="R110" s="365"/>
      <c r="S110" s="365"/>
      <c r="T110" s="365"/>
      <c r="U110" s="365"/>
      <c r="V110" s="365"/>
    </row>
    <row r="111" spans="1:22" ht="130.5" hidden="1" x14ac:dyDescent="0.25">
      <c r="A111" s="365"/>
      <c r="B111" s="365"/>
      <c r="C111" s="273">
        <v>103</v>
      </c>
      <c r="D111" s="392">
        <f>VLOOKUP(Tabla132[[#This Row],[Código INDRA]],Tabla13[[Código Indra]:[ID2]],24,FALSE)</f>
        <v>90</v>
      </c>
      <c r="E111" s="394"/>
      <c r="F111" s="393">
        <v>45616</v>
      </c>
      <c r="G111" s="273" t="s">
        <v>485</v>
      </c>
      <c r="H111" s="275" t="s">
        <v>486</v>
      </c>
      <c r="I111" s="273" t="s">
        <v>3298</v>
      </c>
      <c r="J111" s="273" t="str">
        <f>VLOOKUP(Tabla132[[#This Row],[Código INDRA]],Tabla13[[Código Indra]:[ID2]],8,FALSE)</f>
        <v>mgomez</v>
      </c>
      <c r="K111" s="328" t="s">
        <v>1436</v>
      </c>
      <c r="L111" s="275" t="s">
        <v>1740</v>
      </c>
      <c r="M111" s="328" t="s">
        <v>1741</v>
      </c>
      <c r="N111" s="273"/>
      <c r="O111" s="385" t="s">
        <v>3297</v>
      </c>
      <c r="P111" s="385" t="s">
        <v>3319</v>
      </c>
      <c r="Q111" s="365"/>
      <c r="R111" s="365"/>
      <c r="S111" s="365"/>
      <c r="T111" s="365"/>
      <c r="U111" s="365"/>
      <c r="V111" s="365"/>
    </row>
    <row r="112" spans="1:22" ht="108.75" hidden="1" x14ac:dyDescent="0.25">
      <c r="A112" s="365"/>
      <c r="B112" s="365"/>
      <c r="C112" s="273">
        <v>104</v>
      </c>
      <c r="D112" s="392">
        <f>VLOOKUP(Tabla132[[#This Row],[Código INDRA]],Tabla13[[Código Indra]:[ID2]],24,FALSE)</f>
        <v>91</v>
      </c>
      <c r="E112" s="273"/>
      <c r="F112" s="393">
        <v>45672</v>
      </c>
      <c r="G112" s="273" t="s">
        <v>489</v>
      </c>
      <c r="H112" s="275" t="s">
        <v>1742</v>
      </c>
      <c r="I112" s="273" t="s">
        <v>3298</v>
      </c>
      <c r="J112" s="273" t="str">
        <f>VLOOKUP(Tabla132[[#This Row],[Código INDRA]],Tabla13[[Código Indra]:[ID2]],8,FALSE)</f>
        <v>mgomez</v>
      </c>
      <c r="K112" s="273" t="s">
        <v>1436</v>
      </c>
      <c r="L112" s="275" t="s">
        <v>1743</v>
      </c>
      <c r="M112" s="273" t="s">
        <v>1741</v>
      </c>
      <c r="N112" s="328"/>
      <c r="O112" s="328" t="s">
        <v>1451</v>
      </c>
      <c r="P112" s="328" t="s">
        <v>3293</v>
      </c>
      <c r="Q112" s="365"/>
      <c r="R112" s="365"/>
      <c r="S112" s="365"/>
      <c r="T112" s="365"/>
      <c r="U112" s="365"/>
      <c r="V112" s="365"/>
    </row>
    <row r="113" spans="1:22" ht="152.25" hidden="1" x14ac:dyDescent="0.25">
      <c r="A113" s="365"/>
      <c r="B113" s="365"/>
      <c r="C113" s="273">
        <v>105</v>
      </c>
      <c r="D113" s="392">
        <f>VLOOKUP(Tabla132[[#This Row],[Código INDRA]],Tabla13[[Código Indra]:[ID2]],24,FALSE)</f>
        <v>92</v>
      </c>
      <c r="E113" s="394"/>
      <c r="F113" s="393">
        <v>45672</v>
      </c>
      <c r="G113" s="273" t="s">
        <v>493</v>
      </c>
      <c r="H113" s="275" t="s">
        <v>494</v>
      </c>
      <c r="I113" s="273" t="s">
        <v>3303</v>
      </c>
      <c r="J113" s="273" t="str">
        <f>VLOOKUP(Tabla132[[#This Row],[Código INDRA]],Tabla13[[Código Indra]:[ID2]],8,FALSE)</f>
        <v>mgomez</v>
      </c>
      <c r="K113" s="328" t="s">
        <v>1436</v>
      </c>
      <c r="L113" s="275" t="s">
        <v>1744</v>
      </c>
      <c r="M113" s="328" t="s">
        <v>1741</v>
      </c>
      <c r="N113" s="273"/>
      <c r="O113" s="385" t="s">
        <v>1451</v>
      </c>
      <c r="P113" s="385" t="s">
        <v>3293</v>
      </c>
      <c r="Q113" s="365"/>
      <c r="R113" s="365"/>
      <c r="S113" s="365"/>
      <c r="T113" s="365"/>
      <c r="U113" s="365"/>
      <c r="V113" s="365"/>
    </row>
    <row r="114" spans="1:22" ht="152.25" hidden="1" x14ac:dyDescent="0.25">
      <c r="A114" s="365"/>
      <c r="B114" s="365"/>
      <c r="C114" s="273">
        <v>106</v>
      </c>
      <c r="D114" s="392">
        <f>VLOOKUP(Tabla132[[#This Row],[Código INDRA]],Tabla13[[Código Indra]:[ID2]],24,FALSE)</f>
        <v>93</v>
      </c>
      <c r="E114" s="273"/>
      <c r="F114" s="393">
        <v>45672</v>
      </c>
      <c r="G114" s="273" t="s">
        <v>67</v>
      </c>
      <c r="H114" s="275" t="s">
        <v>68</v>
      </c>
      <c r="I114" s="273" t="s">
        <v>3320</v>
      </c>
      <c r="J114" s="273" t="str">
        <f>VLOOKUP(Tabla132[[#This Row],[Código INDRA]],Tabla13[[Código Indra]:[ID2]],8,FALSE)</f>
        <v>adalvarezm</v>
      </c>
      <c r="K114" s="273" t="s">
        <v>1436</v>
      </c>
      <c r="L114" s="275" t="s">
        <v>1745</v>
      </c>
      <c r="M114" s="273" t="s">
        <v>1721</v>
      </c>
      <c r="N114" s="328"/>
      <c r="O114" s="328" t="s">
        <v>6</v>
      </c>
      <c r="P114" s="328" t="s">
        <v>1451</v>
      </c>
      <c r="Q114" s="365"/>
      <c r="R114" s="365"/>
      <c r="S114" s="365"/>
      <c r="T114" s="365"/>
      <c r="U114" s="365"/>
      <c r="V114" s="365"/>
    </row>
    <row r="115" spans="1:22" ht="174" hidden="1" x14ac:dyDescent="0.25">
      <c r="A115" s="365"/>
      <c r="B115" s="365"/>
      <c r="C115" s="273">
        <v>107</v>
      </c>
      <c r="D115" s="392">
        <f>VLOOKUP(Tabla132[[#This Row],[Código INDRA]],Tabla13[[Código Indra]:[ID2]],24,FALSE)</f>
        <v>94</v>
      </c>
      <c r="E115" s="394"/>
      <c r="F115" s="393">
        <v>45672</v>
      </c>
      <c r="G115" s="273" t="s">
        <v>500</v>
      </c>
      <c r="H115" s="275" t="s">
        <v>1746</v>
      </c>
      <c r="I115" s="273"/>
      <c r="J115" s="273" t="str">
        <f>VLOOKUP(Tabla132[[#This Row],[Código INDRA]],Tabla13[[Código Indra]:[ID2]],8,FALSE)</f>
        <v>adalvarezm</v>
      </c>
      <c r="K115" s="328" t="s">
        <v>1436</v>
      </c>
      <c r="L115" s="275" t="s">
        <v>1747</v>
      </c>
      <c r="M115" s="328" t="s">
        <v>1748</v>
      </c>
      <c r="N115" s="273"/>
      <c r="O115" s="385" t="s">
        <v>3293</v>
      </c>
      <c r="P115" s="385" t="s">
        <v>3297</v>
      </c>
      <c r="Q115" s="365"/>
      <c r="R115" s="365"/>
      <c r="S115" s="365"/>
      <c r="T115" s="365"/>
      <c r="U115" s="365"/>
      <c r="V115" s="365"/>
    </row>
    <row r="116" spans="1:22" ht="152.25" hidden="1" x14ac:dyDescent="0.25">
      <c r="A116" s="365"/>
      <c r="B116" s="365"/>
      <c r="C116" s="273">
        <v>108</v>
      </c>
      <c r="D116" s="392">
        <f>VLOOKUP(Tabla132[[#This Row],[Código INDRA]],Tabla13[[Código Indra]:[ID2]],24,FALSE)</f>
        <v>95</v>
      </c>
      <c r="E116" s="273"/>
      <c r="F116" s="393">
        <v>45672</v>
      </c>
      <c r="G116" s="273" t="s">
        <v>502</v>
      </c>
      <c r="H116" s="275" t="s">
        <v>1749</v>
      </c>
      <c r="I116" s="273"/>
      <c r="J116" s="273" t="str">
        <f>VLOOKUP(Tabla132[[#This Row],[Código INDRA]],Tabla13[[Código Indra]:[ID2]],8,FALSE)</f>
        <v>adalvarezm</v>
      </c>
      <c r="K116" s="273" t="s">
        <v>1436</v>
      </c>
      <c r="L116" s="275" t="s">
        <v>1750</v>
      </c>
      <c r="M116" s="273" t="s">
        <v>1751</v>
      </c>
      <c r="N116" s="328"/>
      <c r="O116" s="328" t="s">
        <v>6</v>
      </c>
      <c r="P116" s="328" t="s">
        <v>1451</v>
      </c>
      <c r="Q116" s="365"/>
      <c r="R116" s="365"/>
      <c r="S116" s="365"/>
      <c r="T116" s="365"/>
      <c r="U116" s="365"/>
      <c r="V116" s="365"/>
    </row>
    <row r="117" spans="1:22" ht="282.75" hidden="1" x14ac:dyDescent="0.25">
      <c r="A117" s="365"/>
      <c r="B117" s="365"/>
      <c r="C117" s="273">
        <v>109</v>
      </c>
      <c r="D117" s="392">
        <f>VLOOKUP(Tabla132[[#This Row],[Código INDRA]],Tabla13[[Código Indra]:[ID2]],24,FALSE)</f>
        <v>96</v>
      </c>
      <c r="E117" s="394"/>
      <c r="F117" s="393">
        <v>45672</v>
      </c>
      <c r="G117" s="273" t="s">
        <v>504</v>
      </c>
      <c r="H117" s="275" t="s">
        <v>1752</v>
      </c>
      <c r="I117" s="273"/>
      <c r="J117" s="273" t="str">
        <f>VLOOKUP(Tabla132[[#This Row],[Código INDRA]],Tabla13[[Código Indra]:[ID2]],8,FALSE)</f>
        <v>adalvarezm</v>
      </c>
      <c r="K117" s="328" t="s">
        <v>1436</v>
      </c>
      <c r="L117" s="275" t="s">
        <v>1753</v>
      </c>
      <c r="M117" s="328" t="s">
        <v>1751</v>
      </c>
      <c r="N117" s="273"/>
      <c r="O117" s="385"/>
      <c r="P117" s="385"/>
      <c r="Q117" s="365"/>
      <c r="R117" s="365"/>
      <c r="S117" s="365"/>
      <c r="T117" s="365"/>
      <c r="U117" s="365"/>
      <c r="V117" s="365"/>
    </row>
    <row r="118" spans="1:22" ht="174" hidden="1" x14ac:dyDescent="0.25">
      <c r="A118" s="365"/>
      <c r="B118" s="365"/>
      <c r="C118" s="273">
        <v>110</v>
      </c>
      <c r="D118" s="392">
        <f>VLOOKUP(Tabla132[[#This Row],[Código INDRA]],Tabla13[[Código Indra]:[ID2]],24,FALSE)</f>
        <v>97</v>
      </c>
      <c r="E118" s="273"/>
      <c r="F118" s="393">
        <v>45672</v>
      </c>
      <c r="G118" s="273" t="s">
        <v>506</v>
      </c>
      <c r="H118" s="275" t="s">
        <v>1754</v>
      </c>
      <c r="I118" s="273"/>
      <c r="J118" s="273" t="str">
        <f>VLOOKUP(Tabla132[[#This Row],[Código INDRA]],Tabla13[[Código Indra]:[ID2]],8,FALSE)</f>
        <v>adalvarezm</v>
      </c>
      <c r="K118" s="273" t="s">
        <v>1436</v>
      </c>
      <c r="L118" s="275" t="s">
        <v>1755</v>
      </c>
      <c r="M118" s="273" t="s">
        <v>1748</v>
      </c>
      <c r="N118" s="328"/>
      <c r="O118" s="328" t="s">
        <v>6</v>
      </c>
      <c r="P118" s="328" t="s">
        <v>1451</v>
      </c>
      <c r="Q118" s="365"/>
      <c r="R118" s="365"/>
      <c r="S118" s="365"/>
      <c r="T118" s="365"/>
      <c r="U118" s="365"/>
      <c r="V118" s="365"/>
    </row>
    <row r="119" spans="1:22" ht="409.5" hidden="1" x14ac:dyDescent="0.25">
      <c r="A119" s="365"/>
      <c r="B119" s="365"/>
      <c r="C119" s="273">
        <v>111</v>
      </c>
      <c r="D119" s="392">
        <f>VLOOKUP(Tabla132[[#This Row],[Código INDRA]],Tabla13[[Código Indra]:[ID2]],24,FALSE)</f>
        <v>98</v>
      </c>
      <c r="E119" s="394"/>
      <c r="F119" s="393">
        <v>45672</v>
      </c>
      <c r="G119" s="273" t="s">
        <v>643</v>
      </c>
      <c r="H119" s="275" t="s">
        <v>71</v>
      </c>
      <c r="I119" s="273" t="s">
        <v>3321</v>
      </c>
      <c r="J119" s="273" t="str">
        <f>VLOOKUP(Tabla132[[#This Row],[Código INDRA]],Tabla13[[Código Indra]:[ID2]],8,FALSE)</f>
        <v>mgomez</v>
      </c>
      <c r="K119" s="328" t="s">
        <v>1436</v>
      </c>
      <c r="L119" s="275" t="s">
        <v>1756</v>
      </c>
      <c r="M119" s="328" t="s">
        <v>1757</v>
      </c>
      <c r="N119" s="273"/>
      <c r="O119" s="385"/>
      <c r="P119" s="385"/>
      <c r="Q119" s="365"/>
      <c r="R119" s="365"/>
      <c r="S119" s="365"/>
      <c r="T119" s="365"/>
      <c r="U119" s="365"/>
      <c r="V119" s="365"/>
    </row>
    <row r="120" spans="1:22" ht="152.25" hidden="1" x14ac:dyDescent="0.25">
      <c r="A120" s="365"/>
      <c r="B120" s="365"/>
      <c r="C120" s="273">
        <v>112</v>
      </c>
      <c r="D120" s="392">
        <f>VLOOKUP(Tabla132[[#This Row],[Código INDRA]],Tabla13[[Código Indra]:[ID2]],24,FALSE)</f>
        <v>99</v>
      </c>
      <c r="E120" s="273"/>
      <c r="F120" s="393">
        <v>45672</v>
      </c>
      <c r="G120" s="273" t="s">
        <v>508</v>
      </c>
      <c r="H120" s="275" t="s">
        <v>1758</v>
      </c>
      <c r="I120" s="273" t="s">
        <v>3303</v>
      </c>
      <c r="J120" s="273" t="str">
        <f>VLOOKUP(Tabla132[[#This Row],[Código INDRA]],Tabla13[[Código Indra]:[ID2]],8,FALSE)</f>
        <v>mgomez</v>
      </c>
      <c r="K120" s="273" t="s">
        <v>1436</v>
      </c>
      <c r="L120" s="275" t="s">
        <v>1759</v>
      </c>
      <c r="M120" s="273" t="s">
        <v>1760</v>
      </c>
      <c r="N120" s="328"/>
      <c r="O120" s="328"/>
      <c r="P120" s="328"/>
      <c r="Q120" s="365"/>
      <c r="R120" s="365"/>
      <c r="S120" s="365"/>
      <c r="T120" s="365"/>
      <c r="U120" s="365"/>
      <c r="V120" s="365"/>
    </row>
    <row r="121" spans="1:22" ht="239.25" hidden="1" x14ac:dyDescent="0.25">
      <c r="A121" s="365"/>
      <c r="B121" s="365"/>
      <c r="C121" s="273">
        <v>113</v>
      </c>
      <c r="D121" s="392">
        <f>VLOOKUP(Tabla132[[#This Row],[Código INDRA]],Tabla13[[Código Indra]:[ID2]],24,FALSE)</f>
        <v>100</v>
      </c>
      <c r="E121" s="394"/>
      <c r="F121" s="393">
        <v>45581</v>
      </c>
      <c r="G121" s="273" t="s">
        <v>512</v>
      </c>
      <c r="H121" s="275" t="s">
        <v>513</v>
      </c>
      <c r="I121" s="273" t="s">
        <v>3290</v>
      </c>
      <c r="J121" s="273" t="str">
        <f>VLOOKUP(Tabla132[[#This Row],[Código INDRA]],Tabla13[[Código Indra]:[ID2]],8,FALSE)</f>
        <v>mgomez</v>
      </c>
      <c r="K121" s="328" t="s">
        <v>1436</v>
      </c>
      <c r="L121" s="275" t="s">
        <v>1761</v>
      </c>
      <c r="M121" s="328" t="s">
        <v>1672</v>
      </c>
      <c r="N121" s="273">
        <v>45615</v>
      </c>
      <c r="O121" s="385"/>
      <c r="P121" s="385"/>
      <c r="Q121" s="365"/>
      <c r="R121" s="365"/>
      <c r="S121" s="365"/>
      <c r="T121" s="365"/>
      <c r="U121" s="365"/>
      <c r="V121" s="365"/>
    </row>
    <row r="122" spans="1:22" ht="239.25" hidden="1" x14ac:dyDescent="0.25">
      <c r="A122" s="365"/>
      <c r="B122" s="365"/>
      <c r="C122" s="273">
        <v>114</v>
      </c>
      <c r="D122" s="392">
        <f>VLOOKUP(Tabla132[[#This Row],[Código INDRA]],Tabla13[[Código Indra]:[ID2]],24,FALSE)</f>
        <v>101</v>
      </c>
      <c r="E122" s="273"/>
      <c r="F122" s="393">
        <v>45581</v>
      </c>
      <c r="G122" s="273" t="s">
        <v>516</v>
      </c>
      <c r="H122" s="275" t="s">
        <v>517</v>
      </c>
      <c r="I122" s="273" t="s">
        <v>3298</v>
      </c>
      <c r="J122" s="273" t="str">
        <f>VLOOKUP(Tabla132[[#This Row],[Código INDRA]],Tabla13[[Código Indra]:[ID2]],8,FALSE)</f>
        <v>mgomez</v>
      </c>
      <c r="K122" s="273" t="s">
        <v>1436</v>
      </c>
      <c r="L122" s="275" t="s">
        <v>1762</v>
      </c>
      <c r="M122" s="273" t="s">
        <v>1672</v>
      </c>
      <c r="N122" s="328"/>
      <c r="O122" s="328"/>
      <c r="P122" s="328"/>
      <c r="Q122" s="365"/>
      <c r="R122" s="365"/>
      <c r="S122" s="365"/>
      <c r="T122" s="365"/>
      <c r="U122" s="365"/>
      <c r="V122" s="365"/>
    </row>
    <row r="123" spans="1:22" ht="195.75" hidden="1" x14ac:dyDescent="0.25">
      <c r="A123" s="365"/>
      <c r="B123" s="365"/>
      <c r="C123" s="273">
        <v>115</v>
      </c>
      <c r="D123" s="392">
        <f>VLOOKUP(Tabla132[[#This Row],[Código INDRA]],Tabla13[[Código Indra]:[ID2]],24,FALSE)</f>
        <v>102</v>
      </c>
      <c r="E123" s="394"/>
      <c r="F123" s="393">
        <v>45579</v>
      </c>
      <c r="G123" s="273" t="s">
        <v>520</v>
      </c>
      <c r="H123" s="275" t="s">
        <v>521</v>
      </c>
      <c r="I123" s="273" t="s">
        <v>3298</v>
      </c>
      <c r="J123" s="273" t="str">
        <f>VLOOKUP(Tabla132[[#This Row],[Código INDRA]],Tabla13[[Código Indra]:[ID2]],8,FALSE)</f>
        <v>mgomez</v>
      </c>
      <c r="K123" s="328" t="s">
        <v>1436</v>
      </c>
      <c r="L123" s="275" t="s">
        <v>1763</v>
      </c>
      <c r="M123" s="328" t="s">
        <v>1764</v>
      </c>
      <c r="N123" s="273"/>
      <c r="O123" s="385"/>
      <c r="P123" s="385"/>
      <c r="Q123" s="365"/>
      <c r="R123" s="365"/>
      <c r="S123" s="365"/>
      <c r="T123" s="365"/>
      <c r="U123" s="365"/>
      <c r="V123" s="365"/>
    </row>
    <row r="124" spans="1:22" ht="108.75" hidden="1" x14ac:dyDescent="0.25">
      <c r="A124" s="365"/>
      <c r="B124" s="365"/>
      <c r="C124" s="273">
        <v>116</v>
      </c>
      <c r="D124" s="392">
        <f>VLOOKUP(Tabla132[[#This Row],[Código INDRA]],Tabla13[[Código Indra]:[ID2]],24,FALSE)</f>
        <v>103</v>
      </c>
      <c r="E124" s="273"/>
      <c r="F124" s="393">
        <v>45580</v>
      </c>
      <c r="G124" s="273" t="s">
        <v>524</v>
      </c>
      <c r="H124" s="275" t="s">
        <v>525</v>
      </c>
      <c r="I124" s="273" t="s">
        <v>3303</v>
      </c>
      <c r="J124" s="273" t="str">
        <f>VLOOKUP(Tabla132[[#This Row],[Código INDRA]],Tabla13[[Código Indra]:[ID2]],8,FALSE)</f>
        <v>mgomez</v>
      </c>
      <c r="K124" s="273" t="s">
        <v>1436</v>
      </c>
      <c r="L124" s="275" t="s">
        <v>1765</v>
      </c>
      <c r="M124" s="273" t="s">
        <v>1766</v>
      </c>
      <c r="N124" s="328"/>
      <c r="O124" s="328" t="s">
        <v>3293</v>
      </c>
      <c r="P124" s="328" t="s">
        <v>3297</v>
      </c>
      <c r="Q124" s="365"/>
      <c r="R124" s="365"/>
      <c r="S124" s="365"/>
      <c r="T124" s="365"/>
      <c r="U124" s="365"/>
      <c r="V124" s="365"/>
    </row>
    <row r="125" spans="1:22" ht="108.75" hidden="1" x14ac:dyDescent="0.25">
      <c r="A125" s="365"/>
      <c r="B125" s="365"/>
      <c r="C125" s="273">
        <v>117</v>
      </c>
      <c r="D125" s="392">
        <f>VLOOKUP(Tabla132[[#This Row],[Código INDRA]],Tabla13[[Código Indra]:[ID2]],24,FALSE)</f>
        <v>104</v>
      </c>
      <c r="E125" s="394"/>
      <c r="F125" s="393">
        <v>45582</v>
      </c>
      <c r="G125" s="273" t="s">
        <v>528</v>
      </c>
      <c r="H125" s="275" t="s">
        <v>529</v>
      </c>
      <c r="I125" s="273" t="s">
        <v>3303</v>
      </c>
      <c r="J125" s="273" t="str">
        <f>VLOOKUP(Tabla132[[#This Row],[Código INDRA]],Tabla13[[Código Indra]:[ID2]],8,FALSE)</f>
        <v>mgomez</v>
      </c>
      <c r="K125" s="328" t="s">
        <v>1436</v>
      </c>
      <c r="L125" s="275" t="s">
        <v>1767</v>
      </c>
      <c r="M125" s="328" t="s">
        <v>1672</v>
      </c>
      <c r="N125" s="273"/>
      <c r="O125" s="385"/>
      <c r="P125" s="385"/>
      <c r="Q125" s="365"/>
      <c r="R125" s="365"/>
      <c r="S125" s="365"/>
      <c r="T125" s="365"/>
      <c r="U125" s="365"/>
      <c r="V125" s="365"/>
    </row>
    <row r="126" spans="1:22" ht="195.75" x14ac:dyDescent="0.25">
      <c r="A126" s="365"/>
      <c r="B126" s="365"/>
      <c r="C126" s="273">
        <v>118</v>
      </c>
      <c r="D126" s="392" t="e">
        <f>VLOOKUP(Tabla132[[#This Row],[Código INDRA]],Tabla13[[Código Indra]:[ID2]],24,FALSE)</f>
        <v>#N/A</v>
      </c>
      <c r="E126" s="273"/>
      <c r="F126" s="393">
        <v>45583</v>
      </c>
      <c r="G126" s="330" t="s">
        <v>1966</v>
      </c>
      <c r="H126" s="275" t="s">
        <v>1269</v>
      </c>
      <c r="I126" s="273" t="s">
        <v>3302</v>
      </c>
      <c r="J126" s="273" t="e">
        <f>VLOOKUP(Tabla132[[#This Row],[Código INDRA]],Tabla13[[Código Indra]:[ID2]],8,FALSE)</f>
        <v>#N/A</v>
      </c>
      <c r="K126" s="273"/>
      <c r="L126" s="275" t="s">
        <v>3322</v>
      </c>
      <c r="M126" s="273" t="s">
        <v>3323</v>
      </c>
      <c r="N126" s="328"/>
      <c r="O126" s="328" t="s">
        <v>6</v>
      </c>
      <c r="P126" s="328" t="s">
        <v>3293</v>
      </c>
      <c r="Q126" s="365"/>
      <c r="R126" s="365"/>
      <c r="S126" s="365"/>
      <c r="T126" s="365"/>
      <c r="U126" s="365"/>
      <c r="V126" s="365"/>
    </row>
    <row r="127" spans="1:22" ht="108.75" hidden="1" x14ac:dyDescent="0.25">
      <c r="A127" s="365"/>
      <c r="B127" s="365"/>
      <c r="C127" s="273">
        <v>119</v>
      </c>
      <c r="D127" s="392">
        <f>VLOOKUP(Tabla132[[#This Row],[Código INDRA]],Tabla13[[Código Indra]:[ID2]],24,FALSE)</f>
        <v>106</v>
      </c>
      <c r="E127" s="394"/>
      <c r="F127" s="393">
        <v>45580</v>
      </c>
      <c r="G127" s="273" t="s">
        <v>687</v>
      </c>
      <c r="H127" s="275" t="s">
        <v>688</v>
      </c>
      <c r="I127" s="273" t="s">
        <v>3303</v>
      </c>
      <c r="J127" s="273" t="str">
        <f>VLOOKUP(Tabla132[[#This Row],[Código INDRA]],Tabla13[[Código Indra]:[ID2]],8,FALSE)</f>
        <v>adalvarezm</v>
      </c>
      <c r="K127" s="328" t="s">
        <v>1436</v>
      </c>
      <c r="L127" s="275" t="s">
        <v>1768</v>
      </c>
      <c r="M127" s="328" t="s">
        <v>1769</v>
      </c>
      <c r="N127" s="273"/>
      <c r="O127" s="385"/>
      <c r="P127" s="385"/>
      <c r="Q127" s="365"/>
      <c r="R127" s="365"/>
      <c r="S127" s="365"/>
      <c r="T127" s="365"/>
      <c r="U127" s="365"/>
      <c r="V127" s="365"/>
    </row>
    <row r="128" spans="1:22" ht="87" hidden="1" x14ac:dyDescent="0.25">
      <c r="A128" s="365"/>
      <c r="B128" s="365"/>
      <c r="C128" s="273">
        <v>120</v>
      </c>
      <c r="D128" s="392">
        <f>VLOOKUP(Tabla132[[#This Row],[Código INDRA]],Tabla13[[Código Indra]:[ID2]],24,FALSE)</f>
        <v>107</v>
      </c>
      <c r="E128" s="273"/>
      <c r="F128" s="393"/>
      <c r="G128" s="273" t="s">
        <v>891</v>
      </c>
      <c r="H128" s="275" t="s">
        <v>1770</v>
      </c>
      <c r="I128" s="273"/>
      <c r="J128" s="273" t="str">
        <f>VLOOKUP(Tabla132[[#This Row],[Código INDRA]],Tabla13[[Código Indra]:[ID2]],8,FALSE)</f>
        <v>adalvarezm</v>
      </c>
      <c r="K128" s="273" t="s">
        <v>1436</v>
      </c>
      <c r="L128" s="275" t="s">
        <v>1771</v>
      </c>
      <c r="M128" s="273" t="s">
        <v>1721</v>
      </c>
      <c r="N128" s="328"/>
      <c r="O128" s="328"/>
      <c r="P128" s="328"/>
      <c r="Q128" s="365"/>
      <c r="R128" s="365"/>
      <c r="S128" s="365"/>
      <c r="T128" s="365"/>
      <c r="U128" s="365"/>
      <c r="V128" s="365"/>
    </row>
    <row r="129" spans="1:22" ht="65.25" hidden="1" x14ac:dyDescent="0.25">
      <c r="A129" s="365"/>
      <c r="B129" s="365"/>
      <c r="C129" s="273">
        <v>121</v>
      </c>
      <c r="D129" s="392">
        <f>VLOOKUP(Tabla132[[#This Row],[Código INDRA]],Tabla13[[Código Indra]:[ID2]],24,FALSE)</f>
        <v>108</v>
      </c>
      <c r="E129" s="394"/>
      <c r="F129" s="393">
        <v>45630</v>
      </c>
      <c r="G129" s="273" t="s">
        <v>893</v>
      </c>
      <c r="H129" s="275" t="s">
        <v>1772</v>
      </c>
      <c r="I129" s="273" t="s">
        <v>3290</v>
      </c>
      <c r="J129" s="273" t="str">
        <f>VLOOKUP(Tabla132[[#This Row],[Código INDRA]],Tabla13[[Código Indra]:[ID2]],8,FALSE)</f>
        <v>adalvarezm</v>
      </c>
      <c r="K129" s="328" t="s">
        <v>1436</v>
      </c>
      <c r="L129" s="275" t="s">
        <v>1773</v>
      </c>
      <c r="M129" s="328" t="s">
        <v>1721</v>
      </c>
      <c r="N129" s="273"/>
      <c r="O129" s="385"/>
      <c r="P129" s="385"/>
      <c r="Q129" s="365"/>
      <c r="R129" s="365"/>
      <c r="S129" s="365"/>
      <c r="T129" s="365"/>
      <c r="U129" s="365"/>
      <c r="V129" s="365"/>
    </row>
    <row r="130" spans="1:22" ht="65.25" hidden="1" x14ac:dyDescent="0.25">
      <c r="A130" s="365"/>
      <c r="B130" s="365"/>
      <c r="C130" s="273">
        <v>122</v>
      </c>
      <c r="D130" s="392">
        <f>VLOOKUP(Tabla132[[#This Row],[Código INDRA]],Tabla13[[Código Indra]:[ID2]],24,FALSE)</f>
        <v>109</v>
      </c>
      <c r="E130" s="273"/>
      <c r="F130" s="393">
        <v>45630</v>
      </c>
      <c r="G130" s="273" t="s">
        <v>897</v>
      </c>
      <c r="H130" s="275" t="s">
        <v>1774</v>
      </c>
      <c r="I130" s="273" t="s">
        <v>3290</v>
      </c>
      <c r="J130" s="273" t="str">
        <f>VLOOKUP(Tabla132[[#This Row],[Código INDRA]],Tabla13[[Código Indra]:[ID2]],8,FALSE)</f>
        <v>adalvarezm</v>
      </c>
      <c r="K130" s="273" t="s">
        <v>1436</v>
      </c>
      <c r="L130" s="275" t="s">
        <v>1773</v>
      </c>
      <c r="M130" s="273" t="s">
        <v>1721</v>
      </c>
      <c r="N130" s="328"/>
      <c r="O130" s="328"/>
      <c r="P130" s="328"/>
      <c r="Q130" s="365"/>
      <c r="R130" s="365"/>
      <c r="S130" s="365"/>
      <c r="T130" s="365"/>
      <c r="U130" s="365"/>
      <c r="V130" s="365"/>
    </row>
    <row r="131" spans="1:22" ht="409.5" hidden="1" x14ac:dyDescent="0.25">
      <c r="A131" s="365"/>
      <c r="B131" s="365"/>
      <c r="C131" s="273">
        <v>123</v>
      </c>
      <c r="D131" s="392">
        <f>VLOOKUP(Tabla132[[#This Row],[Código INDRA]],Tabla13[[Código Indra]:[ID2]],24,FALSE)</f>
        <v>110</v>
      </c>
      <c r="E131" s="394"/>
      <c r="F131" s="393">
        <v>45672</v>
      </c>
      <c r="G131" s="273" t="s">
        <v>30</v>
      </c>
      <c r="H131" s="275" t="s">
        <v>31</v>
      </c>
      <c r="I131" s="273" t="s">
        <v>3289</v>
      </c>
      <c r="J131" s="273" t="str">
        <f>VLOOKUP(Tabla132[[#This Row],[Código INDRA]],Tabla13[[Código Indra]:[ID2]],8,FALSE)</f>
        <v>mgomez</v>
      </c>
      <c r="K131" s="328" t="s">
        <v>1436</v>
      </c>
      <c r="L131" s="275" t="s">
        <v>1775</v>
      </c>
      <c r="M131" s="328" t="s">
        <v>1776</v>
      </c>
      <c r="N131" s="273">
        <v>45695</v>
      </c>
      <c r="O131" s="385"/>
      <c r="P131" s="385"/>
      <c r="Q131" s="365"/>
      <c r="R131" s="365"/>
      <c r="S131" s="365"/>
      <c r="T131" s="365"/>
      <c r="U131" s="365"/>
      <c r="V131" s="365"/>
    </row>
    <row r="132" spans="1:22" ht="87" x14ac:dyDescent="0.25">
      <c r="A132" s="365"/>
      <c r="B132" s="365"/>
      <c r="C132" s="273">
        <v>124</v>
      </c>
      <c r="D132" s="392">
        <f>VLOOKUP(Tabla132[[#This Row],[Código INDRA]],Tabla13[[Código Indra]:[ID2]],24,FALSE)</f>
        <v>111</v>
      </c>
      <c r="E132" s="273"/>
      <c r="F132" s="393"/>
      <c r="G132" s="273" t="s">
        <v>434</v>
      </c>
      <c r="H132" s="275" t="s">
        <v>435</v>
      </c>
      <c r="I132" s="273"/>
      <c r="J132" s="273" t="str">
        <f>VLOOKUP(Tabla132[[#This Row],[Código INDRA]],Tabla13[[Código Indra]:[ID2]],8,FALSE)</f>
        <v>adalvarezm</v>
      </c>
      <c r="K132" s="273"/>
      <c r="L132" s="275" t="s">
        <v>3324</v>
      </c>
      <c r="M132" s="409" t="s">
        <v>1815</v>
      </c>
      <c r="N132" s="328"/>
      <c r="O132" s="328"/>
      <c r="P132" s="328"/>
      <c r="Q132" s="365"/>
      <c r="R132" s="365"/>
      <c r="S132" s="365"/>
      <c r="T132" s="365"/>
      <c r="U132" s="365"/>
      <c r="V132" s="365"/>
    </row>
    <row r="133" spans="1:22" ht="87" hidden="1" x14ac:dyDescent="0.25">
      <c r="A133" s="365"/>
      <c r="B133" s="365"/>
      <c r="C133" s="273">
        <v>125</v>
      </c>
      <c r="D133" s="392">
        <f>VLOOKUP(Tabla132[[#This Row],[Código INDRA]],Tabla13[[Código Indra]:[ID2]],24,FALSE)</f>
        <v>112</v>
      </c>
      <c r="E133" s="394"/>
      <c r="F133" s="393">
        <v>45635</v>
      </c>
      <c r="G133" s="273" t="s">
        <v>708</v>
      </c>
      <c r="H133" s="275" t="s">
        <v>709</v>
      </c>
      <c r="I133" s="273" t="s">
        <v>3290</v>
      </c>
      <c r="J133" s="273" t="str">
        <f>VLOOKUP(Tabla132[[#This Row],[Código INDRA]],Tabla13[[Código Indra]:[ID2]],8,FALSE)</f>
        <v>mgomez</v>
      </c>
      <c r="K133" s="328" t="s">
        <v>1436</v>
      </c>
      <c r="L133" s="275" t="s">
        <v>1777</v>
      </c>
      <c r="M133" s="328" t="s">
        <v>1778</v>
      </c>
      <c r="N133" s="273"/>
      <c r="O133" s="385"/>
      <c r="P133" s="385"/>
      <c r="Q133" s="365"/>
      <c r="R133" s="365"/>
      <c r="S133" s="365"/>
      <c r="T133" s="365"/>
      <c r="U133" s="365"/>
      <c r="V133" s="365"/>
    </row>
    <row r="134" spans="1:22" ht="43.5" hidden="1" x14ac:dyDescent="0.25">
      <c r="A134" s="365"/>
      <c r="B134" s="365"/>
      <c r="C134" s="273">
        <v>126</v>
      </c>
      <c r="D134" s="392">
        <f>VLOOKUP(Tabla132[[#This Row],[Código INDRA]],Tabla13[[Código Indra]:[ID2]],24,FALSE)</f>
        <v>114</v>
      </c>
      <c r="E134" s="273"/>
      <c r="F134" s="393"/>
      <c r="G134" s="273" t="s">
        <v>619</v>
      </c>
      <c r="H134" s="275" t="s">
        <v>620</v>
      </c>
      <c r="I134" s="273"/>
      <c r="J134" s="273" t="str">
        <f>VLOOKUP(Tabla132[[#This Row],[Código INDRA]],Tabla13[[Código Indra]:[ID2]],8,FALSE)</f>
        <v>jgdelapena</v>
      </c>
      <c r="K134" s="273" t="s">
        <v>1436</v>
      </c>
      <c r="L134" s="275" t="s">
        <v>1781</v>
      </c>
      <c r="M134" s="409" t="s">
        <v>1782</v>
      </c>
      <c r="N134" s="328"/>
      <c r="O134" s="328"/>
      <c r="P134" s="328"/>
      <c r="Q134" s="365"/>
      <c r="R134" s="365"/>
      <c r="S134" s="365"/>
      <c r="T134" s="365"/>
      <c r="U134" s="365"/>
      <c r="V134" s="365"/>
    </row>
    <row r="135" spans="1:22" ht="130.5" hidden="1" x14ac:dyDescent="0.25">
      <c r="A135" s="365"/>
      <c r="B135" s="365"/>
      <c r="C135" s="273">
        <v>127</v>
      </c>
      <c r="D135" s="392">
        <f>VLOOKUP(Tabla132[[#This Row],[Código INDRA]],Tabla13[[Código Indra]:[ID2]],24,FALSE)</f>
        <v>118</v>
      </c>
      <c r="E135" s="394"/>
      <c r="F135" s="393"/>
      <c r="G135" s="273" t="s">
        <v>60</v>
      </c>
      <c r="H135" s="275" t="s">
        <v>61</v>
      </c>
      <c r="I135" s="273"/>
      <c r="J135" s="273" t="str">
        <f>VLOOKUP(Tabla132[[#This Row],[Código INDRA]],Tabla13[[Código Indra]:[ID2]],8,FALSE)</f>
        <v>adalvarezm</v>
      </c>
      <c r="K135" s="328" t="s">
        <v>1436</v>
      </c>
      <c r="L135" s="275" t="s">
        <v>1786</v>
      </c>
      <c r="M135" s="328" t="s">
        <v>1721</v>
      </c>
      <c r="N135" s="273"/>
      <c r="O135" s="385" t="s">
        <v>6</v>
      </c>
      <c r="P135" s="385" t="s">
        <v>1451</v>
      </c>
      <c r="Q135" s="365"/>
      <c r="R135" s="365"/>
      <c r="S135" s="365"/>
      <c r="T135" s="365"/>
      <c r="U135" s="365"/>
      <c r="V135" s="365"/>
    </row>
    <row r="136" spans="1:22" ht="108.75" hidden="1" x14ac:dyDescent="0.25">
      <c r="A136" s="365"/>
      <c r="B136" s="365"/>
      <c r="C136" s="273">
        <v>128</v>
      </c>
      <c r="D136" s="392">
        <f>VLOOKUP(Tabla132[[#This Row],[Código INDRA]],Tabla13[[Código Indra]:[ID2]],24,FALSE)</f>
        <v>119</v>
      </c>
      <c r="E136" s="273"/>
      <c r="F136" s="393">
        <v>45630</v>
      </c>
      <c r="G136" s="273" t="s">
        <v>1281</v>
      </c>
      <c r="H136" s="275" t="s">
        <v>1282</v>
      </c>
      <c r="I136" s="273"/>
      <c r="J136" s="273" t="str">
        <f>VLOOKUP(Tabla132[[#This Row],[Código INDRA]],Tabla13[[Código Indra]:[ID2]],8,FALSE)</f>
        <v>adalvarezm</v>
      </c>
      <c r="K136" s="273" t="s">
        <v>1436</v>
      </c>
      <c r="L136" s="275" t="s">
        <v>1787</v>
      </c>
      <c r="M136" s="273" t="s">
        <v>1721</v>
      </c>
      <c r="N136" s="328"/>
      <c r="O136" s="328" t="s">
        <v>6</v>
      </c>
      <c r="P136" s="328" t="s">
        <v>1451</v>
      </c>
      <c r="Q136" s="365"/>
      <c r="R136" s="365"/>
      <c r="S136" s="365"/>
      <c r="T136" s="365"/>
      <c r="U136" s="365"/>
      <c r="V136" s="365"/>
    </row>
    <row r="137" spans="1:22" ht="43.5" hidden="1" x14ac:dyDescent="0.25">
      <c r="A137" s="365"/>
      <c r="B137" s="365"/>
      <c r="C137" s="273">
        <v>129</v>
      </c>
      <c r="D137" s="392">
        <f>VLOOKUP(Tabla132[[#This Row],[Código INDRA]],Tabla13[[Código Indra]:[ID2]],24,FALSE)</f>
        <v>120</v>
      </c>
      <c r="E137" s="394"/>
      <c r="F137" s="393">
        <v>45631</v>
      </c>
      <c r="G137" s="273" t="s">
        <v>1322</v>
      </c>
      <c r="H137" s="275" t="s">
        <v>1323</v>
      </c>
      <c r="I137" s="273"/>
      <c r="J137" s="273" t="str">
        <f>VLOOKUP(Tabla132[[#This Row],[Código INDRA]],Tabla13[[Código Indra]:[ID2]],8,FALSE)</f>
        <v>adalvarezm</v>
      </c>
      <c r="K137" s="328" t="s">
        <v>1436</v>
      </c>
      <c r="L137" s="275" t="s">
        <v>1788</v>
      </c>
      <c r="M137" s="409" t="s">
        <v>1789</v>
      </c>
      <c r="N137" s="273"/>
      <c r="O137" s="385" t="s">
        <v>6</v>
      </c>
      <c r="P137" s="385" t="s">
        <v>1451</v>
      </c>
      <c r="Q137" s="365"/>
      <c r="R137" s="365"/>
      <c r="S137" s="365"/>
      <c r="T137" s="365"/>
      <c r="U137" s="365"/>
      <c r="V137" s="365"/>
    </row>
    <row r="138" spans="1:22" ht="87" hidden="1" x14ac:dyDescent="0.25">
      <c r="A138" s="365"/>
      <c r="B138" s="365"/>
      <c r="C138" s="273">
        <v>130</v>
      </c>
      <c r="D138" s="392">
        <f>VLOOKUP(Tabla132[[#This Row],[Código INDRA]],Tabla13[[Código Indra]:[ID2]],24,FALSE)</f>
        <v>125</v>
      </c>
      <c r="E138" s="273"/>
      <c r="F138" s="393">
        <v>45298</v>
      </c>
      <c r="G138" s="273" t="s">
        <v>557</v>
      </c>
      <c r="H138" s="275" t="s">
        <v>86</v>
      </c>
      <c r="I138" s="273" t="s">
        <v>3320</v>
      </c>
      <c r="J138" s="273" t="str">
        <f>VLOOKUP(Tabla132[[#This Row],[Código INDRA]],Tabla13[[Código Indra]:[ID2]],8,FALSE)</f>
        <v>mgomez</v>
      </c>
      <c r="K138" s="273" t="s">
        <v>1436</v>
      </c>
      <c r="L138" s="275" t="s">
        <v>1790</v>
      </c>
      <c r="M138" s="409" t="s">
        <v>1791</v>
      </c>
      <c r="N138" s="328"/>
      <c r="O138" s="328" t="s">
        <v>1451</v>
      </c>
      <c r="P138" s="328" t="s">
        <v>3293</v>
      </c>
      <c r="Q138" s="365"/>
      <c r="R138" s="365"/>
      <c r="S138" s="365"/>
      <c r="T138" s="365"/>
      <c r="U138" s="365"/>
      <c r="V138" s="365"/>
    </row>
    <row r="139" spans="1:22" ht="43.5" x14ac:dyDescent="0.25">
      <c r="A139" s="365"/>
      <c r="B139" s="365"/>
      <c r="C139" s="273">
        <v>131</v>
      </c>
      <c r="D139" s="392">
        <f>VLOOKUP(Tabla132[[#This Row],[Código INDRA]],Tabla13[[Código Indra]:[ID2]],24,FALSE)</f>
        <v>125</v>
      </c>
      <c r="E139" s="394"/>
      <c r="F139" s="393"/>
      <c r="G139" s="273" t="s">
        <v>557</v>
      </c>
      <c r="H139" s="275" t="s">
        <v>86</v>
      </c>
      <c r="I139" s="273"/>
      <c r="J139" s="273" t="str">
        <f>VLOOKUP(Tabla132[[#This Row],[Código INDRA]],Tabla13[[Código Indra]:[ID2]],8,FALSE)</f>
        <v>mgomez</v>
      </c>
      <c r="K139" s="328"/>
      <c r="L139" s="275" t="s">
        <v>3325</v>
      </c>
      <c r="M139" s="275"/>
      <c r="N139" s="273"/>
      <c r="O139" s="385" t="s">
        <v>6</v>
      </c>
      <c r="P139" s="385" t="s">
        <v>1451</v>
      </c>
      <c r="Q139" s="365"/>
      <c r="R139" s="365"/>
      <c r="S139" s="365"/>
      <c r="T139" s="365"/>
      <c r="U139" s="365"/>
      <c r="V139" s="365"/>
    </row>
    <row r="140" spans="1:22" ht="87" hidden="1" x14ac:dyDescent="0.25">
      <c r="A140" s="365"/>
      <c r="B140" s="365"/>
      <c r="C140" s="273">
        <v>132</v>
      </c>
      <c r="D140" s="392" t="e">
        <f>VLOOKUP(Tabla132[[#This Row],[Código INDRA]],Tabla13[[Código Indra]:[ID2]],24,FALSE)</f>
        <v>#N/A</v>
      </c>
      <c r="E140" s="273"/>
      <c r="F140" s="393">
        <v>45698</v>
      </c>
      <c r="G140" s="273" t="s">
        <v>149</v>
      </c>
      <c r="H140" s="275" t="s">
        <v>150</v>
      </c>
      <c r="I140" s="273"/>
      <c r="J140" s="273" t="e">
        <f>VLOOKUP(Tabla132[[#This Row],[Código INDRA]],Tabla13[[Código Indra]:[ID2]],8,FALSE)</f>
        <v>#N/A</v>
      </c>
      <c r="K140" s="273" t="s">
        <v>1436</v>
      </c>
      <c r="L140" s="275" t="s">
        <v>1975</v>
      </c>
      <c r="M140" s="409" t="s">
        <v>1964</v>
      </c>
      <c r="N140" s="328"/>
      <c r="O140" s="328" t="s">
        <v>6</v>
      </c>
      <c r="P140" s="328" t="s">
        <v>1451</v>
      </c>
      <c r="Q140" s="365"/>
      <c r="R140" s="365"/>
      <c r="S140" s="365"/>
      <c r="T140" s="365"/>
      <c r="U140" s="365"/>
      <c r="V140" s="365"/>
    </row>
    <row r="141" spans="1:22" ht="21.75" hidden="1" x14ac:dyDescent="0.25">
      <c r="A141" s="365"/>
      <c r="B141" s="365"/>
      <c r="C141" s="273">
        <v>133</v>
      </c>
      <c r="D141" s="392">
        <f>VLOOKUP(Tabla132[[#This Row],[Código INDRA]],Tabla13[[Código Indra]:[ID2]],24,FALSE)</f>
        <v>138</v>
      </c>
      <c r="E141" s="394"/>
      <c r="F141" s="393"/>
      <c r="G141" s="273" t="s">
        <v>837</v>
      </c>
      <c r="H141" s="275" t="s">
        <v>1792</v>
      </c>
      <c r="I141" s="273"/>
      <c r="J141" s="273" t="str">
        <f>VLOOKUP(Tabla132[[#This Row],[Código INDRA]],Tabla13[[Código Indra]:[ID2]],8,FALSE)</f>
        <v>adalvarezm</v>
      </c>
      <c r="K141" s="328" t="s">
        <v>1436</v>
      </c>
      <c r="L141" s="275" t="s">
        <v>1793</v>
      </c>
      <c r="M141" s="328"/>
      <c r="N141" s="273"/>
      <c r="O141" s="385" t="s">
        <v>6</v>
      </c>
      <c r="P141" s="385" t="s">
        <v>1451</v>
      </c>
      <c r="Q141" s="365"/>
      <c r="R141" s="365"/>
      <c r="S141" s="365"/>
      <c r="T141" s="365"/>
      <c r="U141" s="365"/>
      <c r="V141" s="365"/>
    </row>
    <row r="142" spans="1:22" ht="217.5" hidden="1" x14ac:dyDescent="0.25">
      <c r="A142" s="365"/>
      <c r="B142" s="365"/>
      <c r="C142" s="273">
        <v>134</v>
      </c>
      <c r="D142" s="392">
        <f>VLOOKUP(Tabla132[[#This Row],[Código INDRA]],Tabla13[[Código Indra]:[ID2]],24,FALSE)</f>
        <v>143</v>
      </c>
      <c r="E142" s="273"/>
      <c r="F142" s="393">
        <v>45667</v>
      </c>
      <c r="G142" s="273" t="s">
        <v>88</v>
      </c>
      <c r="H142" s="275" t="s">
        <v>89</v>
      </c>
      <c r="I142" s="273"/>
      <c r="J142" s="273" t="str">
        <f>VLOOKUP(Tabla132[[#This Row],[Código INDRA]],Tabla13[[Código Indra]:[ID2]],8,FALSE)</f>
        <v>mgomez</v>
      </c>
      <c r="K142" s="273" t="s">
        <v>1436</v>
      </c>
      <c r="L142" s="275" t="s">
        <v>1795</v>
      </c>
      <c r="M142" s="409" t="s">
        <v>1796</v>
      </c>
      <c r="N142" s="328"/>
      <c r="O142" s="328" t="s">
        <v>3293</v>
      </c>
      <c r="P142" s="328" t="s">
        <v>3297</v>
      </c>
      <c r="Q142" s="365"/>
      <c r="R142" s="365"/>
      <c r="S142" s="365"/>
      <c r="T142" s="365"/>
      <c r="U142" s="365"/>
      <c r="V142" s="365"/>
    </row>
    <row r="143" spans="1:22" ht="43.5" hidden="1" x14ac:dyDescent="0.25">
      <c r="A143" s="365"/>
      <c r="B143" s="365"/>
      <c r="C143" s="273">
        <v>135</v>
      </c>
      <c r="D143" s="392">
        <f>VLOOKUP(Tabla132[[#This Row],[Código INDRA]],Tabla13[[Código Indra]:[ID2]],24,FALSE)</f>
        <v>144</v>
      </c>
      <c r="E143" s="394"/>
      <c r="F143" s="393"/>
      <c r="G143" s="273" t="s">
        <v>573</v>
      </c>
      <c r="H143" s="275" t="s">
        <v>1797</v>
      </c>
      <c r="I143" s="273" t="s">
        <v>3298</v>
      </c>
      <c r="J143" s="273" t="str">
        <f>VLOOKUP(Tabla132[[#This Row],[Código INDRA]],Tabla13[[Código Indra]:[ID2]],8,FALSE)</f>
        <v>mgomez</v>
      </c>
      <c r="K143" s="328" t="s">
        <v>1436</v>
      </c>
      <c r="L143" s="275" t="s">
        <v>1798</v>
      </c>
      <c r="M143" s="328" t="s">
        <v>1799</v>
      </c>
      <c r="N143" s="273"/>
      <c r="O143" s="385" t="s">
        <v>6</v>
      </c>
      <c r="P143" s="385" t="s">
        <v>1451</v>
      </c>
      <c r="Q143" s="365"/>
      <c r="R143" s="365"/>
      <c r="S143" s="365"/>
      <c r="T143" s="365"/>
      <c r="U143" s="365"/>
      <c r="V143" s="365"/>
    </row>
    <row r="144" spans="1:22" ht="43.5" hidden="1" x14ac:dyDescent="0.25">
      <c r="A144" s="365"/>
      <c r="B144" s="365"/>
      <c r="C144" s="273">
        <v>136</v>
      </c>
      <c r="D144" s="392">
        <f>VLOOKUP(Tabla132[[#This Row],[Código INDRA]],Tabla13[[Código Indra]:[ID2]],24,FALSE)</f>
        <v>146</v>
      </c>
      <c r="E144" s="273"/>
      <c r="F144" s="393"/>
      <c r="G144" s="273" t="s">
        <v>577</v>
      </c>
      <c r="H144" s="275" t="s">
        <v>578</v>
      </c>
      <c r="I144" s="273"/>
      <c r="J144" s="273" t="str">
        <f>VLOOKUP(Tabla132[[#This Row],[Código INDRA]],Tabla13[[Código Indra]:[ID2]],8,FALSE)</f>
        <v>mgomez</v>
      </c>
      <c r="K144" s="273" t="s">
        <v>1436</v>
      </c>
      <c r="L144" s="275" t="s">
        <v>1800</v>
      </c>
      <c r="M144" s="273" t="s">
        <v>1799</v>
      </c>
      <c r="N144" s="328"/>
      <c r="O144" s="328" t="s">
        <v>6</v>
      </c>
      <c r="P144" s="328" t="s">
        <v>1451</v>
      </c>
      <c r="Q144" s="365"/>
      <c r="R144" s="365"/>
      <c r="S144" s="365"/>
      <c r="T144" s="365"/>
      <c r="U144" s="365"/>
      <c r="V144" s="365"/>
    </row>
    <row r="145" spans="1:22" ht="43.5" hidden="1" x14ac:dyDescent="0.25">
      <c r="A145" s="365"/>
      <c r="B145" s="365"/>
      <c r="C145" s="273">
        <v>137</v>
      </c>
      <c r="D145" s="392">
        <f>VLOOKUP(Tabla132[[#This Row],[Código INDRA]],Tabla13[[Código Indra]:[ID2]],24,FALSE)</f>
        <v>146</v>
      </c>
      <c r="E145" s="394"/>
      <c r="F145" s="393"/>
      <c r="G145" s="273" t="s">
        <v>577</v>
      </c>
      <c r="H145" s="275" t="s">
        <v>1801</v>
      </c>
      <c r="I145" s="273" t="s">
        <v>3298</v>
      </c>
      <c r="J145" s="273" t="str">
        <f>VLOOKUP(Tabla132[[#This Row],[Código INDRA]],Tabla13[[Código Indra]:[ID2]],8,FALSE)</f>
        <v>mgomez</v>
      </c>
      <c r="K145" s="328" t="s">
        <v>1436</v>
      </c>
      <c r="L145" s="275" t="s">
        <v>1798</v>
      </c>
      <c r="M145" s="328" t="s">
        <v>1799</v>
      </c>
      <c r="N145" s="273"/>
      <c r="O145" s="385" t="s">
        <v>6</v>
      </c>
      <c r="P145" s="385" t="s">
        <v>1451</v>
      </c>
      <c r="Q145" s="365"/>
      <c r="R145" s="365"/>
      <c r="S145" s="365"/>
      <c r="T145" s="365"/>
      <c r="U145" s="365"/>
      <c r="V145" s="365"/>
    </row>
    <row r="146" spans="1:22" ht="43.5" hidden="1" x14ac:dyDescent="0.25">
      <c r="A146" s="365"/>
      <c r="B146" s="365"/>
      <c r="C146" s="273">
        <v>138</v>
      </c>
      <c r="D146" s="392">
        <f>VLOOKUP(Tabla132[[#This Row],[Código INDRA]],Tabla13[[Código Indra]:[ID2]],24,FALSE)</f>
        <v>148</v>
      </c>
      <c r="E146" s="273"/>
      <c r="F146" s="393"/>
      <c r="G146" s="273" t="s">
        <v>580</v>
      </c>
      <c r="H146" s="275" t="s">
        <v>1802</v>
      </c>
      <c r="I146" s="273" t="s">
        <v>3298</v>
      </c>
      <c r="J146" s="273" t="str">
        <f>VLOOKUP(Tabla132[[#This Row],[Código INDRA]],Tabla13[[Código Indra]:[ID2]],8,FALSE)</f>
        <v>mgomez</v>
      </c>
      <c r="K146" s="273" t="s">
        <v>1436</v>
      </c>
      <c r="L146" s="275" t="s">
        <v>1798</v>
      </c>
      <c r="M146" s="273" t="s">
        <v>1799</v>
      </c>
      <c r="N146" s="328"/>
      <c r="O146" s="328"/>
      <c r="P146" s="328"/>
      <c r="Q146" s="365"/>
      <c r="R146" s="365"/>
      <c r="S146" s="365"/>
      <c r="T146" s="365"/>
      <c r="U146" s="365"/>
      <c r="V146" s="365"/>
    </row>
    <row r="147" spans="1:22" ht="21.75" x14ac:dyDescent="0.25">
      <c r="A147" s="365"/>
      <c r="B147" s="365"/>
      <c r="C147" s="273"/>
      <c r="D147" s="392">
        <f>VLOOKUP(Tabla132[[#This Row],[Código INDRA]],Tabla13[[Código Indra]:[ID2]],24,FALSE)</f>
        <v>150</v>
      </c>
      <c r="E147" s="394"/>
      <c r="F147" s="393"/>
      <c r="G147" s="273" t="s">
        <v>163</v>
      </c>
      <c r="H147" s="275" t="s">
        <v>164</v>
      </c>
      <c r="I147" s="273"/>
      <c r="J147" s="273" t="str">
        <f>VLOOKUP(Tabla132[[#This Row],[Código INDRA]],Tabla13[[Código Indra]:[ID2]],8,FALSE)</f>
        <v>jgdelapena</v>
      </c>
      <c r="K147" s="328"/>
      <c r="L147" s="275" t="s">
        <v>3326</v>
      </c>
      <c r="M147" s="275"/>
      <c r="N147" s="273"/>
      <c r="O147" s="385"/>
      <c r="P147" s="385"/>
      <c r="Q147" s="365"/>
      <c r="R147" s="365"/>
      <c r="S147" s="365"/>
      <c r="T147" s="365"/>
      <c r="U147" s="365"/>
      <c r="V147" s="365"/>
    </row>
    <row r="148" spans="1:22" ht="409.5" hidden="1" x14ac:dyDescent="0.25">
      <c r="A148" s="365"/>
      <c r="B148" s="365"/>
      <c r="C148" s="273"/>
      <c r="D148" s="392">
        <f>VLOOKUP(Tabla132[[#This Row],[Código INDRA]],Tabla13[[Código Indra]:[ID2]],24,FALSE)</f>
        <v>173</v>
      </c>
      <c r="E148" s="273"/>
      <c r="F148" s="393">
        <v>45698</v>
      </c>
      <c r="G148" s="273" t="s">
        <v>35</v>
      </c>
      <c r="H148" s="275" t="s">
        <v>36</v>
      </c>
      <c r="I148" s="273"/>
      <c r="J148" s="273" t="str">
        <f>VLOOKUP(Tabla132[[#This Row],[Código INDRA]],Tabla13[[Código Indra]:[ID2]],8,FALSE)</f>
        <v>mgomez</v>
      </c>
      <c r="K148" s="273" t="s">
        <v>1436</v>
      </c>
      <c r="L148" s="275" t="s">
        <v>1803</v>
      </c>
      <c r="M148" s="409" t="s">
        <v>1804</v>
      </c>
      <c r="N148" s="328"/>
      <c r="O148" s="328"/>
      <c r="P148" s="328"/>
      <c r="Q148" s="365"/>
      <c r="R148" s="365"/>
      <c r="S148" s="365"/>
      <c r="T148" s="365"/>
      <c r="U148" s="365"/>
      <c r="V148" s="365"/>
    </row>
    <row r="149" spans="1:22" ht="152.25" x14ac:dyDescent="0.25">
      <c r="A149" s="365"/>
      <c r="B149" s="365"/>
      <c r="C149" s="273"/>
      <c r="D149" s="392" t="e">
        <f>VLOOKUP(Tabla132[[#This Row],[Código INDRA]],Tabla13[[Código Indra]:[ID2]],24,FALSE)</f>
        <v>#N/A</v>
      </c>
      <c r="E149" s="394"/>
      <c r="F149" s="393">
        <v>45726</v>
      </c>
      <c r="G149" s="273" t="s">
        <v>1969</v>
      </c>
      <c r="H149" s="275" t="s">
        <v>1970</v>
      </c>
      <c r="I149" s="273" t="s">
        <v>3300</v>
      </c>
      <c r="J149" s="273" t="e">
        <f>VLOOKUP(Tabla132[[#This Row],[Código INDRA]],Tabla13[[Código Indra]:[ID2]],8,FALSE)</f>
        <v>#N/A</v>
      </c>
      <c r="K149" s="328"/>
      <c r="L149" s="275" t="s">
        <v>1971</v>
      </c>
      <c r="M149" s="414" t="s">
        <v>1808</v>
      </c>
      <c r="N149" s="273"/>
      <c r="O149" s="385" t="s">
        <v>6</v>
      </c>
      <c r="P149" s="385" t="s">
        <v>1451</v>
      </c>
      <c r="Q149" s="365"/>
      <c r="R149" s="365"/>
      <c r="S149" s="365"/>
      <c r="T149" s="365"/>
      <c r="U149" s="365"/>
      <c r="V149" s="365"/>
    </row>
    <row r="150" spans="1:22" ht="152.25" x14ac:dyDescent="0.25">
      <c r="A150" s="365"/>
      <c r="B150" s="365"/>
      <c r="C150" s="273"/>
      <c r="D150" s="392" t="e">
        <f>VLOOKUP(Tabla132[[#This Row],[Código INDRA]],Tabla13[[Código Indra]:[ID2]],24,FALSE)</f>
        <v>#N/A</v>
      </c>
      <c r="E150" s="273"/>
      <c r="F150" s="393">
        <v>45726</v>
      </c>
      <c r="G150" s="273" t="s">
        <v>1969</v>
      </c>
      <c r="H150" s="275" t="s">
        <v>1970</v>
      </c>
      <c r="I150" s="273" t="s">
        <v>3327</v>
      </c>
      <c r="J150" s="273" t="e">
        <f>VLOOKUP(Tabla132[[#This Row],[Código INDRA]],Tabla13[[Código Indra]:[ID2]],8,FALSE)</f>
        <v>#N/A</v>
      </c>
      <c r="K150" s="273"/>
      <c r="L150" s="275" t="s">
        <v>1971</v>
      </c>
      <c r="M150" s="413" t="s">
        <v>1808</v>
      </c>
      <c r="N150" s="328"/>
      <c r="O150" s="328"/>
      <c r="P150" s="328"/>
      <c r="Q150" s="365"/>
      <c r="R150" s="365"/>
      <c r="S150" s="365"/>
      <c r="T150" s="365"/>
      <c r="U150" s="365"/>
      <c r="V150" s="365"/>
    </row>
    <row r="151" spans="1:22" ht="87" x14ac:dyDescent="0.25">
      <c r="A151" s="365"/>
      <c r="B151" s="365"/>
      <c r="C151" s="273"/>
      <c r="D151" s="392">
        <f>VLOOKUP(Tabla132[[#This Row],[Código INDRA]],Tabla13[[Código Indra]:[ID2]],24,FALSE)</f>
        <v>175</v>
      </c>
      <c r="E151" s="394"/>
      <c r="F151" s="393">
        <v>45726</v>
      </c>
      <c r="G151" s="273" t="s">
        <v>1805</v>
      </c>
      <c r="H151" s="275" t="s">
        <v>1806</v>
      </c>
      <c r="I151" s="273" t="s">
        <v>3327</v>
      </c>
      <c r="J151" s="273" t="str">
        <f>VLOOKUP(Tabla132[[#This Row],[Código INDRA]],Tabla13[[Código Indra]:[ID2]],8,FALSE)</f>
        <v>hcano</v>
      </c>
      <c r="K151" s="328"/>
      <c r="L151" s="275" t="s">
        <v>1807</v>
      </c>
      <c r="M151" s="414" t="s">
        <v>1808</v>
      </c>
      <c r="N151" s="273"/>
      <c r="O151" s="385"/>
      <c r="P151" s="385"/>
      <c r="Q151" s="365"/>
      <c r="R151" s="365"/>
      <c r="S151" s="365"/>
      <c r="T151" s="365"/>
      <c r="U151" s="365"/>
      <c r="V151" s="365"/>
    </row>
    <row r="152" spans="1:22" ht="87" x14ac:dyDescent="0.25">
      <c r="A152" s="365"/>
      <c r="B152" s="365"/>
      <c r="C152" s="273"/>
      <c r="D152" s="392">
        <f>VLOOKUP(Tabla132[[#This Row],[Código INDRA]],Tabla13[[Código Indra]:[ID2]],24,FALSE)</f>
        <v>175</v>
      </c>
      <c r="E152" s="273"/>
      <c r="F152" s="393">
        <v>45726</v>
      </c>
      <c r="G152" s="273" t="s">
        <v>1805</v>
      </c>
      <c r="H152" s="275" t="s">
        <v>1806</v>
      </c>
      <c r="I152" s="273" t="s">
        <v>3300</v>
      </c>
      <c r="J152" s="273" t="str">
        <f>VLOOKUP(Tabla132[[#This Row],[Código INDRA]],Tabla13[[Código Indra]:[ID2]],8,FALSE)</f>
        <v>hcano</v>
      </c>
      <c r="K152" s="273"/>
      <c r="L152" s="275" t="s">
        <v>1807</v>
      </c>
      <c r="M152" s="413" t="s">
        <v>1808</v>
      </c>
      <c r="N152" s="328"/>
      <c r="O152" s="328" t="s">
        <v>6</v>
      </c>
      <c r="P152" s="328" t="s">
        <v>1451</v>
      </c>
      <c r="Q152" s="365"/>
      <c r="R152" s="365"/>
      <c r="S152" s="365"/>
      <c r="T152" s="365"/>
      <c r="U152" s="365"/>
      <c r="V152" s="365"/>
    </row>
    <row r="153" spans="1:22" ht="409.5" hidden="1" x14ac:dyDescent="0.25">
      <c r="A153" s="365"/>
      <c r="B153" s="365"/>
      <c r="C153" s="273"/>
      <c r="D153" s="392">
        <f>VLOOKUP(Tabla132[[#This Row],[Código INDRA]],Tabla13[[Código Indra]:[ID2]],24,FALSE)</f>
        <v>176</v>
      </c>
      <c r="E153" s="394"/>
      <c r="F153" s="393">
        <v>45698</v>
      </c>
      <c r="G153" s="273" t="s">
        <v>40</v>
      </c>
      <c r="H153" s="275" t="s">
        <v>41</v>
      </c>
      <c r="I153" s="273"/>
      <c r="J153" s="273" t="str">
        <f>VLOOKUP(Tabla132[[#This Row],[Código INDRA]],Tabla13[[Código Indra]:[ID2]],8,FALSE)</f>
        <v>mgomez</v>
      </c>
      <c r="K153" s="328" t="s">
        <v>1436</v>
      </c>
      <c r="L153" s="275" t="s">
        <v>1803</v>
      </c>
      <c r="M153" s="409" t="s">
        <v>1809</v>
      </c>
      <c r="N153" s="273"/>
      <c r="O153" s="385" t="s">
        <v>6</v>
      </c>
      <c r="P153" s="385" t="s">
        <v>1451</v>
      </c>
      <c r="Q153" s="365"/>
      <c r="R153" s="365"/>
      <c r="S153" s="365"/>
      <c r="T153" s="365"/>
      <c r="U153" s="365"/>
      <c r="V153" s="365"/>
    </row>
    <row r="154" spans="1:22" ht="21.75" x14ac:dyDescent="0.25">
      <c r="A154" s="365"/>
      <c r="B154" s="365"/>
      <c r="C154" s="273"/>
      <c r="D154" s="392">
        <f>VLOOKUP(Tabla132[[#This Row],[Código INDRA]],Tabla13[[Código Indra]:[ID2]],24,FALSE)</f>
        <v>178</v>
      </c>
      <c r="E154" s="273"/>
      <c r="F154" s="393"/>
      <c r="G154" s="273" t="s">
        <v>466</v>
      </c>
      <c r="H154" s="275" t="s">
        <v>1810</v>
      </c>
      <c r="I154" s="273"/>
      <c r="J154" s="273" t="str">
        <f>VLOOKUP(Tabla132[[#This Row],[Código INDRA]],Tabla13[[Código Indra]:[ID2]],8,FALSE)</f>
        <v>adalvarezm</v>
      </c>
      <c r="K154" s="273"/>
      <c r="L154" s="275" t="s">
        <v>1811</v>
      </c>
      <c r="M154" s="273"/>
      <c r="N154" s="328"/>
      <c r="O154" s="328" t="s">
        <v>6</v>
      </c>
      <c r="P154" s="328"/>
      <c r="Q154" s="365"/>
      <c r="R154" s="365"/>
      <c r="S154" s="365"/>
      <c r="T154" s="365"/>
      <c r="U154" s="365"/>
      <c r="V154" s="365"/>
    </row>
    <row r="155" spans="1:22" ht="304.5" hidden="1" x14ac:dyDescent="0.25">
      <c r="A155" s="365"/>
      <c r="B155" s="365"/>
      <c r="C155" s="273"/>
      <c r="D155" s="392">
        <f>VLOOKUP(Tabla132[[#This Row],[Código INDRA]],Tabla13[[Código Indra]:[ID2]],24,FALSE)</f>
        <v>180</v>
      </c>
      <c r="E155" s="394"/>
      <c r="F155" s="393"/>
      <c r="G155" s="273" t="s">
        <v>181</v>
      </c>
      <c r="H155" s="275" t="s">
        <v>182</v>
      </c>
      <c r="I155" s="273"/>
      <c r="J155" s="273" t="str">
        <f>VLOOKUP(Tabla132[[#This Row],[Código INDRA]],Tabla13[[Código Indra]:[ID2]],8,FALSE)</f>
        <v>adalvarezm</v>
      </c>
      <c r="K155" s="328" t="s">
        <v>1436</v>
      </c>
      <c r="L155" s="275" t="s">
        <v>1812</v>
      </c>
      <c r="M155" s="414" t="s">
        <v>3328</v>
      </c>
      <c r="N155" s="273"/>
      <c r="O155" s="385" t="s">
        <v>6</v>
      </c>
      <c r="P155" s="385" t="s">
        <v>1451</v>
      </c>
      <c r="Q155" s="365"/>
      <c r="R155" s="365"/>
      <c r="S155" s="365"/>
      <c r="T155" s="365"/>
      <c r="U155" s="365"/>
      <c r="V155" s="365"/>
    </row>
    <row r="156" spans="1:22" ht="87" x14ac:dyDescent="0.25">
      <c r="A156" s="365"/>
      <c r="B156" s="365"/>
      <c r="C156" s="273"/>
      <c r="D156" s="392">
        <f>VLOOKUP(Tabla132[[#This Row],[Código INDRA]],Tabla13[[Código Indra]:[ID2]],24,FALSE)</f>
        <v>181</v>
      </c>
      <c r="E156" s="273"/>
      <c r="F156" s="393"/>
      <c r="G156" s="273" t="s">
        <v>437</v>
      </c>
      <c r="H156" s="275" t="s">
        <v>438</v>
      </c>
      <c r="I156" s="273"/>
      <c r="J156" s="273" t="str">
        <f>VLOOKUP(Tabla132[[#This Row],[Código INDRA]],Tabla13[[Código Indra]:[ID2]],8,FALSE)</f>
        <v>adalvarezm</v>
      </c>
      <c r="K156" s="273"/>
      <c r="L156" s="275" t="s">
        <v>1814</v>
      </c>
      <c r="M156" s="408" t="s">
        <v>1815</v>
      </c>
      <c r="N156" s="328"/>
      <c r="O156" s="328"/>
      <c r="P156" s="328"/>
      <c r="Q156" s="365"/>
      <c r="R156" s="365"/>
      <c r="S156" s="365"/>
      <c r="T156" s="365"/>
      <c r="U156" s="365"/>
      <c r="V156" s="365"/>
    </row>
    <row r="157" spans="1:22" ht="21.75" x14ac:dyDescent="0.25">
      <c r="A157" s="365"/>
      <c r="B157" s="365"/>
      <c r="C157" s="273"/>
      <c r="D157" s="392">
        <f>VLOOKUP(Tabla132[[#This Row],[Código INDRA]],Tabla13[[Código Indra]:[ID2]],24,FALSE)</f>
        <v>182</v>
      </c>
      <c r="E157" s="394"/>
      <c r="F157" s="393"/>
      <c r="G157" s="273" t="s">
        <v>444</v>
      </c>
      <c r="H157" s="275" t="s">
        <v>445</v>
      </c>
      <c r="I157" s="273"/>
      <c r="J157" s="273" t="str">
        <f>VLOOKUP(Tabla132[[#This Row],[Código INDRA]],Tabla13[[Código Indra]:[ID2]],8,FALSE)</f>
        <v>adalvarezm</v>
      </c>
      <c r="K157" s="273"/>
      <c r="L157" s="275" t="s">
        <v>1816</v>
      </c>
      <c r="M157" s="328"/>
      <c r="N157" s="273"/>
      <c r="O157" s="385"/>
      <c r="P157" s="385"/>
      <c r="Q157" s="365"/>
      <c r="R157" s="365"/>
      <c r="S157" s="365"/>
      <c r="T157" s="365"/>
      <c r="U157" s="365"/>
      <c r="V157" s="365"/>
    </row>
    <row r="158" spans="1:22" ht="21.75" x14ac:dyDescent="0.25">
      <c r="A158" s="365"/>
      <c r="B158" s="365"/>
      <c r="C158" s="273"/>
      <c r="D158" s="392">
        <f>VLOOKUP(Tabla132[[#This Row],[Código INDRA]],Tabla13[[Código Indra]:[ID2]],24,FALSE)</f>
        <v>183</v>
      </c>
      <c r="E158" s="273"/>
      <c r="F158" s="393"/>
      <c r="G158" s="273" t="s">
        <v>1817</v>
      </c>
      <c r="H158" s="275" t="s">
        <v>1818</v>
      </c>
      <c r="I158" s="273"/>
      <c r="J158" s="273" t="str">
        <f>VLOOKUP(Tabla132[[#This Row],[Código INDRA]],Tabla13[[Código Indra]:[ID2]],8,FALSE)</f>
        <v>adalvarezm</v>
      </c>
      <c r="K158" s="273"/>
      <c r="L158" s="275" t="s">
        <v>1816</v>
      </c>
      <c r="M158" s="273"/>
      <c r="N158" s="328"/>
      <c r="O158" s="328"/>
      <c r="P158" s="328"/>
      <c r="Q158" s="365"/>
      <c r="R158" s="365"/>
      <c r="S158" s="365"/>
      <c r="T158" s="365"/>
      <c r="U158" s="365"/>
      <c r="V158" s="365"/>
    </row>
    <row r="159" spans="1:22" ht="43.5" x14ac:dyDescent="0.25">
      <c r="A159" s="365"/>
      <c r="B159" s="365"/>
      <c r="C159" s="273"/>
      <c r="D159" s="392">
        <f>VLOOKUP(Tabla132[[#This Row],[Código INDRA]],Tabla13[[Código Indra]:[ID2]],24,FALSE)</f>
        <v>184</v>
      </c>
      <c r="E159" s="394"/>
      <c r="F159" s="393"/>
      <c r="G159" s="273" t="s">
        <v>447</v>
      </c>
      <c r="H159" s="275" t="s">
        <v>448</v>
      </c>
      <c r="I159" s="273"/>
      <c r="J159" s="273" t="str">
        <f>VLOOKUP(Tabla132[[#This Row],[Código INDRA]],Tabla13[[Código Indra]:[ID2]],8,FALSE)</f>
        <v>adalvarezm</v>
      </c>
      <c r="K159" s="273"/>
      <c r="L159" s="275" t="s">
        <v>1816</v>
      </c>
      <c r="M159" s="328"/>
      <c r="N159" s="273"/>
      <c r="O159" s="385"/>
      <c r="P159" s="385"/>
      <c r="Q159" s="365"/>
      <c r="R159" s="365"/>
      <c r="S159" s="365"/>
      <c r="T159" s="365"/>
      <c r="U159" s="365"/>
      <c r="V159" s="365"/>
    </row>
    <row r="160" spans="1:22" ht="65.25" x14ac:dyDescent="0.25">
      <c r="A160" s="365"/>
      <c r="B160" s="365"/>
      <c r="C160" s="273"/>
      <c r="D160" s="392">
        <f>VLOOKUP(Tabla132[[#This Row],[Código INDRA]],Tabla13[[Código Indra]:[ID2]],24,FALSE)</f>
        <v>621</v>
      </c>
      <c r="E160" s="273"/>
      <c r="F160" s="393">
        <v>45698</v>
      </c>
      <c r="G160" s="273" t="s">
        <v>184</v>
      </c>
      <c r="H160" s="275" t="s">
        <v>185</v>
      </c>
      <c r="I160" s="273"/>
      <c r="J160" s="273" t="str">
        <f>VLOOKUP(Tabla132[[#This Row],[Código INDRA]],Tabla13[[Código Indra]:[ID2]],8,FALSE)</f>
        <v>adalvarezm</v>
      </c>
      <c r="K160" s="273"/>
      <c r="L160" s="275" t="s">
        <v>3329</v>
      </c>
      <c r="M160" s="413" t="s">
        <v>1963</v>
      </c>
      <c r="N160" s="328"/>
      <c r="O160" s="328"/>
      <c r="P160" s="328"/>
      <c r="Q160" s="365"/>
      <c r="R160" s="365"/>
      <c r="S160" s="365"/>
      <c r="T160" s="365"/>
      <c r="U160" s="365"/>
      <c r="V160" s="365"/>
    </row>
    <row r="161" spans="1:22" ht="43.5" hidden="1" x14ac:dyDescent="0.25">
      <c r="A161" s="365"/>
      <c r="B161" s="365"/>
      <c r="C161" s="273">
        <v>140</v>
      </c>
      <c r="D161" s="392">
        <f>VLOOKUP(Tabla132[[#This Row],[Código INDRA]],Tabla13[[Código Indra]:[ID2]],24,FALSE)</f>
        <v>187</v>
      </c>
      <c r="E161" s="273"/>
      <c r="F161" s="393">
        <v>45581</v>
      </c>
      <c r="G161" s="273" t="s">
        <v>626</v>
      </c>
      <c r="H161" s="275" t="s">
        <v>627</v>
      </c>
      <c r="I161" s="273" t="s">
        <v>3303</v>
      </c>
      <c r="J161" s="273">
        <f>VLOOKUP(Tabla132[[#This Row],[Código INDRA]],Tabla13[[Código Indra]:[ID2]],8,FALSE)</f>
        <v>0</v>
      </c>
      <c r="K161" s="273" t="s">
        <v>1436</v>
      </c>
      <c r="L161" s="275" t="s">
        <v>1821</v>
      </c>
      <c r="M161" s="273" t="s">
        <v>1820</v>
      </c>
      <c r="N161" s="328">
        <v>45595</v>
      </c>
      <c r="O161" s="328"/>
      <c r="P161" s="328"/>
      <c r="Q161" s="365"/>
      <c r="R161" s="365"/>
      <c r="S161" s="365"/>
      <c r="T161" s="365"/>
      <c r="U161" s="365"/>
      <c r="V161" s="365"/>
    </row>
    <row r="162" spans="1:22" ht="87" x14ac:dyDescent="0.25">
      <c r="A162" s="365"/>
      <c r="B162" s="365"/>
      <c r="C162" s="273">
        <v>141</v>
      </c>
      <c r="D162" s="392">
        <f>VLOOKUP(Tabla132[[#This Row],[Código INDRA]],Tabla13[[Código Indra]:[ID2]],24,FALSE)</f>
        <v>187</v>
      </c>
      <c r="E162" s="394"/>
      <c r="F162" s="393">
        <v>45581</v>
      </c>
      <c r="G162" s="273" t="s">
        <v>626</v>
      </c>
      <c r="H162" s="275" t="s">
        <v>627</v>
      </c>
      <c r="I162" s="273" t="s">
        <v>3303</v>
      </c>
      <c r="J162" s="273">
        <f>VLOOKUP(Tabla132[[#This Row],[Código INDRA]],Tabla13[[Código Indra]:[ID2]],8,FALSE)</f>
        <v>0</v>
      </c>
      <c r="K162" s="273"/>
      <c r="L162" s="275" t="s">
        <v>1819</v>
      </c>
      <c r="M162" s="412" t="s">
        <v>1808</v>
      </c>
      <c r="N162" s="273"/>
      <c r="O162" s="385"/>
      <c r="P162" s="385"/>
      <c r="Q162" s="365"/>
      <c r="R162" s="365"/>
      <c r="S162" s="365"/>
      <c r="T162" s="365"/>
      <c r="U162" s="365"/>
      <c r="V162" s="365"/>
    </row>
    <row r="163" spans="1:22" ht="43.5" hidden="1" x14ac:dyDescent="0.25">
      <c r="A163" s="365"/>
      <c r="B163" s="365"/>
      <c r="C163" s="273">
        <v>141</v>
      </c>
      <c r="D163" s="392">
        <f>VLOOKUP(Tabla132[[#This Row],[Código INDRA]],Tabla13[[Código Indra]:[ID2]],24,FALSE)</f>
        <v>187</v>
      </c>
      <c r="E163" s="273"/>
      <c r="F163" s="393">
        <v>45581</v>
      </c>
      <c r="G163" s="273" t="s">
        <v>626</v>
      </c>
      <c r="H163" s="275" t="s">
        <v>627</v>
      </c>
      <c r="I163" s="273" t="s">
        <v>3303</v>
      </c>
      <c r="J163" s="273">
        <f>VLOOKUP(Tabla132[[#This Row],[Código INDRA]],Tabla13[[Código Indra]:[ID2]],8,FALSE)</f>
        <v>0</v>
      </c>
      <c r="K163" s="273" t="s">
        <v>1436</v>
      </c>
      <c r="L163" s="275" t="s">
        <v>1822</v>
      </c>
      <c r="M163" s="273" t="s">
        <v>1820</v>
      </c>
      <c r="N163" s="328">
        <v>45595</v>
      </c>
      <c r="O163" s="328"/>
      <c r="P163" s="328"/>
      <c r="Q163" s="365"/>
      <c r="R163" s="365"/>
      <c r="S163" s="365"/>
      <c r="T163" s="365"/>
      <c r="U163" s="365"/>
      <c r="V163" s="365"/>
    </row>
    <row r="164" spans="1:22" ht="43.5" hidden="1" x14ac:dyDescent="0.25">
      <c r="A164" s="365"/>
      <c r="B164" s="365"/>
      <c r="C164" s="273">
        <v>142</v>
      </c>
      <c r="D164" s="392">
        <f>VLOOKUP(Tabla132[[#This Row],[Código INDRA]],Tabla13[[Código Indra]:[ID2]],24,FALSE)</f>
        <v>188</v>
      </c>
      <c r="E164" s="394"/>
      <c r="F164" s="393">
        <v>45595</v>
      </c>
      <c r="G164" s="273" t="s">
        <v>454</v>
      </c>
      <c r="H164" s="275" t="s">
        <v>455</v>
      </c>
      <c r="I164" s="273" t="s">
        <v>3300</v>
      </c>
      <c r="J164" s="273">
        <f>VLOOKUP(Tabla132[[#This Row],[Código INDRA]],Tabla13[[Código Indra]:[ID2]],8,FALSE)</f>
        <v>0</v>
      </c>
      <c r="K164" s="273" t="s">
        <v>1436</v>
      </c>
      <c r="L164" s="275" t="s">
        <v>1823</v>
      </c>
      <c r="M164" s="328" t="s">
        <v>1824</v>
      </c>
      <c r="N164" s="273">
        <v>45596</v>
      </c>
      <c r="O164" s="385"/>
      <c r="P164" s="385"/>
      <c r="Q164" s="365"/>
      <c r="R164" s="365"/>
      <c r="S164" s="365"/>
      <c r="T164" s="365"/>
      <c r="U164" s="365"/>
      <c r="V164" s="365"/>
    </row>
    <row r="165" spans="1:22" ht="43.5" hidden="1" x14ac:dyDescent="0.25">
      <c r="A165" s="365"/>
      <c r="B165" s="365"/>
      <c r="C165" s="273">
        <v>143</v>
      </c>
      <c r="D165" s="392">
        <f>VLOOKUP(Tabla132[[#This Row],[Código INDRA]],Tabla13[[Código Indra]:[ID2]],24,FALSE)</f>
        <v>188</v>
      </c>
      <c r="E165" s="273"/>
      <c r="F165" s="393">
        <v>45595</v>
      </c>
      <c r="G165" s="273" t="s">
        <v>454</v>
      </c>
      <c r="H165" s="275" t="s">
        <v>455</v>
      </c>
      <c r="I165" s="273" t="s">
        <v>3290</v>
      </c>
      <c r="J165" s="273">
        <f>VLOOKUP(Tabla132[[#This Row],[Código INDRA]],Tabla13[[Código Indra]:[ID2]],8,FALSE)</f>
        <v>0</v>
      </c>
      <c r="K165" s="273" t="s">
        <v>1436</v>
      </c>
      <c r="L165" s="275" t="s">
        <v>1825</v>
      </c>
      <c r="M165" s="273" t="s">
        <v>1826</v>
      </c>
      <c r="N165" s="328">
        <v>45596</v>
      </c>
      <c r="O165" s="328"/>
      <c r="P165" s="328"/>
      <c r="Q165" s="365"/>
      <c r="R165" s="365"/>
      <c r="S165" s="365"/>
      <c r="T165" s="365"/>
      <c r="U165" s="365"/>
      <c r="V165" s="365"/>
    </row>
    <row r="166" spans="1:22" ht="65.25" hidden="1" x14ac:dyDescent="0.25">
      <c r="A166" s="365"/>
      <c r="B166" s="365"/>
      <c r="C166" s="273"/>
      <c r="D166" s="392">
        <f>VLOOKUP(Tabla132[[#This Row],[Código INDRA]],Tabla13[[Código Indra]:[ID2]],24,FALSE)</f>
        <v>195</v>
      </c>
      <c r="E166" s="273"/>
      <c r="F166" s="393"/>
      <c r="G166" s="273" t="s">
        <v>49</v>
      </c>
      <c r="H166" s="275" t="s">
        <v>50</v>
      </c>
      <c r="I166" s="273"/>
      <c r="J166" s="273" t="str">
        <f>VLOOKUP(Tabla132[[#This Row],[Código INDRA]],Tabla13[[Código Indra]:[ID2]],8,FALSE)</f>
        <v>mgomez</v>
      </c>
      <c r="K166" s="273" t="s">
        <v>1436</v>
      </c>
      <c r="L166" s="275" t="s">
        <v>1829</v>
      </c>
      <c r="M166" s="409" t="s">
        <v>1828</v>
      </c>
      <c r="N166" s="328"/>
      <c r="O166" s="328"/>
      <c r="P166" s="328"/>
      <c r="Q166" s="365"/>
      <c r="R166" s="365"/>
      <c r="S166" s="365"/>
      <c r="T166" s="365"/>
      <c r="U166" s="365"/>
      <c r="V166" s="365"/>
    </row>
    <row r="167" spans="1:22" ht="43.5" x14ac:dyDescent="0.25">
      <c r="A167" s="365"/>
      <c r="B167" s="365"/>
      <c r="C167" s="273"/>
      <c r="D167" s="392">
        <f>VLOOKUP(Tabla132[[#This Row],[Código INDRA]],Tabla13[[Código Indra]:[ID2]],24,FALSE)</f>
        <v>195</v>
      </c>
      <c r="E167" s="394"/>
      <c r="F167" s="393"/>
      <c r="G167" s="273" t="s">
        <v>49</v>
      </c>
      <c r="H167" s="275" t="s">
        <v>50</v>
      </c>
      <c r="I167" s="273"/>
      <c r="J167" s="273" t="str">
        <f>VLOOKUP(Tabla132[[#This Row],[Código INDRA]],Tabla13[[Código Indra]:[ID2]],8,FALSE)</f>
        <v>mgomez</v>
      </c>
      <c r="K167" s="273"/>
      <c r="L167" s="275" t="s">
        <v>3330</v>
      </c>
      <c r="M167" s="408" t="s">
        <v>3331</v>
      </c>
      <c r="N167" s="273"/>
      <c r="O167" s="385"/>
      <c r="P167" s="385"/>
      <c r="Q167" s="365"/>
      <c r="R167" s="365"/>
      <c r="S167" s="365"/>
      <c r="T167" s="365"/>
      <c r="U167" s="365"/>
      <c r="V167" s="365"/>
    </row>
    <row r="168" spans="1:22" ht="43.5" x14ac:dyDescent="0.25">
      <c r="A168" s="365"/>
      <c r="B168" s="365"/>
      <c r="C168" s="273"/>
      <c r="D168" s="392">
        <f>VLOOKUP(Tabla132[[#This Row],[Código INDRA]],Tabla13[[Código Indra]:[ID2]],24,FALSE)</f>
        <v>195</v>
      </c>
      <c r="E168" s="273"/>
      <c r="F168" s="393"/>
      <c r="G168" s="273" t="s">
        <v>49</v>
      </c>
      <c r="H168" s="275" t="s">
        <v>50</v>
      </c>
      <c r="I168" s="273"/>
      <c r="J168" s="273" t="str">
        <f>VLOOKUP(Tabla132[[#This Row],[Código INDRA]],Tabla13[[Código Indra]:[ID2]],8,FALSE)</f>
        <v>mgomez</v>
      </c>
      <c r="K168" s="273"/>
      <c r="L168" s="275" t="s">
        <v>3332</v>
      </c>
      <c r="M168" s="409" t="s">
        <v>3331</v>
      </c>
      <c r="N168" s="328"/>
      <c r="O168" s="328"/>
      <c r="P168" s="328"/>
      <c r="Q168" s="365"/>
      <c r="R168" s="365"/>
      <c r="S168" s="365"/>
      <c r="T168" s="365"/>
      <c r="U168" s="365"/>
      <c r="V168" s="365"/>
    </row>
    <row r="169" spans="1:22" ht="152.25" hidden="1" x14ac:dyDescent="0.25">
      <c r="A169" s="365"/>
      <c r="B169" s="365"/>
      <c r="C169" s="273"/>
      <c r="D169" s="392">
        <f>VLOOKUP(Tabla132[[#This Row],[Código INDRA]],Tabla13[[Código Indra]:[ID2]],24,FALSE)</f>
        <v>195</v>
      </c>
      <c r="E169" s="394"/>
      <c r="F169" s="393"/>
      <c r="G169" s="273" t="s">
        <v>49</v>
      </c>
      <c r="H169" s="275" t="s">
        <v>50</v>
      </c>
      <c r="I169" s="273"/>
      <c r="J169" s="273" t="str">
        <f>VLOOKUP(Tabla132[[#This Row],[Código INDRA]],Tabla13[[Código Indra]:[ID2]],8,FALSE)</f>
        <v>mgomez</v>
      </c>
      <c r="K169" s="273" t="s">
        <v>1436</v>
      </c>
      <c r="L169" s="275" t="s">
        <v>1830</v>
      </c>
      <c r="M169" s="408" t="s">
        <v>1831</v>
      </c>
      <c r="N169" s="273"/>
      <c r="O169" s="385"/>
      <c r="P169" s="385"/>
      <c r="Q169" s="365"/>
      <c r="R169" s="365"/>
      <c r="S169" s="365"/>
      <c r="T169" s="365"/>
      <c r="U169" s="365"/>
      <c r="V169" s="365"/>
    </row>
    <row r="170" spans="1:22" ht="65.25" hidden="1" x14ac:dyDescent="0.25">
      <c r="A170" s="365"/>
      <c r="B170" s="365"/>
      <c r="C170" s="273"/>
      <c r="D170" s="392">
        <f>VLOOKUP(Tabla132[[#This Row],[Código INDRA]],Tabla13[[Código Indra]:[ID2]],24,FALSE)</f>
        <v>195</v>
      </c>
      <c r="E170" s="273"/>
      <c r="F170" s="393"/>
      <c r="G170" s="273" t="s">
        <v>49</v>
      </c>
      <c r="H170" s="275" t="s">
        <v>50</v>
      </c>
      <c r="I170" s="273"/>
      <c r="J170" s="273" t="str">
        <f>VLOOKUP(Tabla132[[#This Row],[Código INDRA]],Tabla13[[Código Indra]:[ID2]],8,FALSE)</f>
        <v>mgomez</v>
      </c>
      <c r="K170" s="273" t="s">
        <v>1436</v>
      </c>
      <c r="L170" s="275" t="s">
        <v>1832</v>
      </c>
      <c r="M170" s="409" t="s">
        <v>1828</v>
      </c>
      <c r="N170" s="328"/>
      <c r="O170" s="328"/>
      <c r="P170" s="328"/>
      <c r="Q170" s="365"/>
      <c r="R170" s="365"/>
      <c r="S170" s="365"/>
      <c r="T170" s="365"/>
      <c r="U170" s="365"/>
      <c r="V170" s="365"/>
    </row>
    <row r="171" spans="1:22" ht="65.25" hidden="1" x14ac:dyDescent="0.25">
      <c r="A171" s="365"/>
      <c r="B171" s="365"/>
      <c r="C171" s="273">
        <v>144</v>
      </c>
      <c r="D171" s="392">
        <f>VLOOKUP(Tabla132[[#This Row],[Código INDRA]],Tabla13[[Código Indra]:[ID2]],24,FALSE)</f>
        <v>196</v>
      </c>
      <c r="E171" s="394"/>
      <c r="F171" s="393">
        <v>45617</v>
      </c>
      <c r="G171" s="273" t="s">
        <v>462</v>
      </c>
      <c r="H171" s="275" t="s">
        <v>463</v>
      </c>
      <c r="I171" s="273" t="s">
        <v>3290</v>
      </c>
      <c r="J171" s="273" t="str">
        <f>VLOOKUP(Tabla132[[#This Row],[Código INDRA]],Tabla13[[Código Indra]:[ID2]],8,FALSE)</f>
        <v>adalvarezm</v>
      </c>
      <c r="K171" s="273" t="s">
        <v>1436</v>
      </c>
      <c r="L171" s="275" t="s">
        <v>1839</v>
      </c>
      <c r="M171" s="273" t="s">
        <v>1721</v>
      </c>
      <c r="N171" s="273"/>
      <c r="O171" s="385"/>
      <c r="P171" s="385"/>
      <c r="Q171" s="365"/>
      <c r="R171" s="365"/>
      <c r="S171" s="365"/>
      <c r="T171" s="365"/>
      <c r="U171" s="365"/>
      <c r="V171" s="365"/>
    </row>
    <row r="172" spans="1:22" ht="409.5" hidden="1" x14ac:dyDescent="0.25">
      <c r="A172" s="365"/>
      <c r="B172" s="365"/>
      <c r="C172" s="273">
        <v>145</v>
      </c>
      <c r="D172" s="392" t="e">
        <f>VLOOKUP(Tabla132[[#This Row],[Código INDRA]],Tabla13[[Código Indra]:[ID2]],24,FALSE)</f>
        <v>#N/A</v>
      </c>
      <c r="E172" s="273"/>
      <c r="F172" s="393">
        <v>45643</v>
      </c>
      <c r="G172" s="273" t="s">
        <v>45</v>
      </c>
      <c r="H172" s="275" t="s">
        <v>46</v>
      </c>
      <c r="I172" s="273" t="s">
        <v>3333</v>
      </c>
      <c r="J172" s="273" t="e">
        <f>VLOOKUP(Tabla132[[#This Row],[Código INDRA]],Tabla13[[Código Indra]:[ID2]],8,FALSE)</f>
        <v>#N/A</v>
      </c>
      <c r="K172" s="273" t="s">
        <v>1436</v>
      </c>
      <c r="L172" s="275" t="s">
        <v>1976</v>
      </c>
      <c r="M172" s="328" t="s">
        <v>1977</v>
      </c>
      <c r="N172" s="328">
        <v>45695</v>
      </c>
      <c r="O172" s="328" t="s">
        <v>321</v>
      </c>
      <c r="P172" s="328">
        <v>1</v>
      </c>
      <c r="Q172" s="365"/>
      <c r="R172" s="365"/>
      <c r="S172" s="365"/>
      <c r="T172" s="365"/>
      <c r="U172" s="365"/>
      <c r="V172" s="365"/>
    </row>
    <row r="173" spans="1:22" ht="43.5" x14ac:dyDescent="0.25">
      <c r="A173" s="365"/>
      <c r="B173" s="365"/>
      <c r="C173" s="273"/>
      <c r="D173" s="392">
        <f>VLOOKUP(Tabla132[[#This Row],[Código INDRA]],Tabla13[[Código Indra]:[ID2]],24,FALSE)</f>
        <v>200</v>
      </c>
      <c r="E173" s="394"/>
      <c r="F173" s="393"/>
      <c r="G173" s="273" t="s">
        <v>1840</v>
      </c>
      <c r="H173" s="275" t="s">
        <v>1403</v>
      </c>
      <c r="I173" s="273"/>
      <c r="J173" s="273" t="str">
        <f>VLOOKUP(Tabla132[[#This Row],[Código INDRA]],Tabla13[[Código Indra]:[ID2]],8,FALSE)</f>
        <v>aalmandoz</v>
      </c>
      <c r="K173" s="273"/>
      <c r="L173" s="275" t="s">
        <v>3334</v>
      </c>
      <c r="M173" s="273"/>
      <c r="N173" s="273"/>
      <c r="O173" s="385"/>
      <c r="P173" s="385"/>
      <c r="Q173" s="365"/>
      <c r="R173" s="365"/>
      <c r="S173" s="365"/>
      <c r="T173" s="365"/>
      <c r="U173" s="365"/>
      <c r="V173" s="365"/>
    </row>
    <row r="174" spans="1:22" ht="409.5" hidden="1" x14ac:dyDescent="0.25">
      <c r="A174" s="365"/>
      <c r="B174" s="365"/>
      <c r="C174" s="273"/>
      <c r="D174" s="392">
        <f>VLOOKUP(Tabla132[[#This Row],[Código INDRA]],Tabla13[[Código Indra]:[ID2]],24,FALSE)</f>
        <v>201</v>
      </c>
      <c r="E174" s="273"/>
      <c r="F174" s="393">
        <v>45698</v>
      </c>
      <c r="G174" s="273" t="s">
        <v>532</v>
      </c>
      <c r="H174" s="275" t="s">
        <v>77</v>
      </c>
      <c r="I174" s="273"/>
      <c r="J174" s="273" t="str">
        <f>VLOOKUP(Tabla132[[#This Row],[Código INDRA]],Tabla13[[Código Indra]:[ID2]],8,FALSE)</f>
        <v>adalvarezm</v>
      </c>
      <c r="K174" s="273" t="s">
        <v>1436</v>
      </c>
      <c r="L174" s="275" t="s">
        <v>1842</v>
      </c>
      <c r="M174" s="415" t="s">
        <v>3335</v>
      </c>
      <c r="N174" s="328"/>
      <c r="O174" s="328" t="s">
        <v>6</v>
      </c>
      <c r="P174" s="328" t="s">
        <v>1451</v>
      </c>
      <c r="Q174" s="365"/>
      <c r="R174" s="365"/>
      <c r="S174" s="365"/>
      <c r="T174" s="365"/>
      <c r="U174" s="365"/>
      <c r="V174" s="365"/>
    </row>
    <row r="175" spans="1:22" ht="152.25" hidden="1" x14ac:dyDescent="0.25">
      <c r="A175" s="365"/>
      <c r="B175" s="365"/>
      <c r="C175" s="273">
        <v>148</v>
      </c>
      <c r="D175" s="392">
        <f>VLOOKUP(Tabla132[[#This Row],[Código INDRA]],Tabla13[[Código Indra]:[ID2]],24,FALSE)</f>
        <v>203</v>
      </c>
      <c r="E175" s="394"/>
      <c r="F175" s="393">
        <v>45579</v>
      </c>
      <c r="G175" s="273" t="s">
        <v>539</v>
      </c>
      <c r="H175" s="275" t="s">
        <v>540</v>
      </c>
      <c r="I175" s="273" t="s">
        <v>3303</v>
      </c>
      <c r="J175" s="273" t="str">
        <f>VLOOKUP(Tabla132[[#This Row],[Código INDRA]],Tabla13[[Código Indra]:[ID2]],8,FALSE)</f>
        <v>adalvarezm</v>
      </c>
      <c r="K175" s="273" t="s">
        <v>1436</v>
      </c>
      <c r="L175" s="275" t="s">
        <v>1846</v>
      </c>
      <c r="M175" s="273" t="s">
        <v>1847</v>
      </c>
      <c r="N175" s="273">
        <v>45608</v>
      </c>
      <c r="O175" s="385"/>
      <c r="P175" s="385"/>
      <c r="Q175" s="365"/>
      <c r="R175" s="365"/>
      <c r="S175" s="365"/>
      <c r="T175" s="365"/>
      <c r="U175" s="365"/>
      <c r="V175" s="365"/>
    </row>
    <row r="176" spans="1:22" ht="108.75" hidden="1" x14ac:dyDescent="0.25">
      <c r="A176" s="365"/>
      <c r="B176" s="365"/>
      <c r="C176" s="273"/>
      <c r="D176" s="392" t="e">
        <f>VLOOKUP(Tabla132[[#This Row],[Código INDRA]],Tabla13[[Código Indra]:[ID2]],24,FALSE)</f>
        <v>#N/A</v>
      </c>
      <c r="E176" s="273"/>
      <c r="F176" s="393"/>
      <c r="G176" s="273">
        <v>973545003800</v>
      </c>
      <c r="H176" s="275" t="s">
        <v>542</v>
      </c>
      <c r="I176" s="273"/>
      <c r="J176" s="273" t="e">
        <f>VLOOKUP(Tabla132[[#This Row],[Código INDRA]],Tabla13[[Código Indra]:[ID2]],8,FALSE)</f>
        <v>#N/A</v>
      </c>
      <c r="K176" s="273" t="s">
        <v>1436</v>
      </c>
      <c r="L176" s="275" t="s">
        <v>1978</v>
      </c>
      <c r="M176" s="328" t="s">
        <v>1847</v>
      </c>
      <c r="N176" s="328"/>
      <c r="O176" s="328"/>
      <c r="P176" s="328"/>
      <c r="Q176" s="365"/>
      <c r="R176" s="365"/>
      <c r="S176" s="365"/>
      <c r="T176" s="365"/>
      <c r="U176" s="365"/>
      <c r="V176" s="365"/>
    </row>
    <row r="177" spans="1:22" ht="130.5" hidden="1" x14ac:dyDescent="0.25">
      <c r="A177" s="365"/>
      <c r="B177" s="365"/>
      <c r="C177" s="273">
        <v>211</v>
      </c>
      <c r="D177" s="392">
        <f>VLOOKUP(Tabla132[[#This Row],[Código INDRA]],Tabla13[[Código Indra]:[ID2]],24,FALSE)</f>
        <v>205</v>
      </c>
      <c r="E177" s="394"/>
      <c r="F177" s="393">
        <v>45580</v>
      </c>
      <c r="G177" s="273" t="s">
        <v>543</v>
      </c>
      <c r="H177" s="275" t="s">
        <v>544</v>
      </c>
      <c r="I177" s="273" t="s">
        <v>3303</v>
      </c>
      <c r="J177" s="273" t="str">
        <f>VLOOKUP(Tabla132[[#This Row],[Código INDRA]],Tabla13[[Código Indra]:[ID2]],8,FALSE)</f>
        <v>adalvarezm</v>
      </c>
      <c r="K177" s="273" t="s">
        <v>1436</v>
      </c>
      <c r="L177" s="275" t="s">
        <v>1848</v>
      </c>
      <c r="M177" s="273"/>
      <c r="N177" s="273">
        <v>45593</v>
      </c>
      <c r="O177" s="385"/>
      <c r="P177" s="385"/>
      <c r="Q177" s="365"/>
      <c r="R177" s="365"/>
      <c r="S177" s="365"/>
      <c r="T177" s="365"/>
      <c r="U177" s="365"/>
      <c r="V177" s="365"/>
    </row>
    <row r="178" spans="1:22" ht="108.75" hidden="1" x14ac:dyDescent="0.25">
      <c r="A178" s="365"/>
      <c r="B178" s="365"/>
      <c r="C178" s="273">
        <v>152</v>
      </c>
      <c r="D178" s="392">
        <f>VLOOKUP(Tabla132[[#This Row],[Código INDRA]],Tabla13[[Código Indra]:[ID2]],24,FALSE)</f>
        <v>206</v>
      </c>
      <c r="E178" s="273"/>
      <c r="F178" s="393">
        <v>45580</v>
      </c>
      <c r="G178" s="273" t="s">
        <v>546</v>
      </c>
      <c r="H178" s="275" t="s">
        <v>547</v>
      </c>
      <c r="I178" s="273" t="s">
        <v>3290</v>
      </c>
      <c r="J178" s="273" t="str">
        <f>VLOOKUP(Tabla132[[#This Row],[Código INDRA]],Tabla13[[Código Indra]:[ID2]],8,FALSE)</f>
        <v>adalvarezm</v>
      </c>
      <c r="K178" s="273" t="s">
        <v>1436</v>
      </c>
      <c r="L178" s="275" t="s">
        <v>1849</v>
      </c>
      <c r="M178" s="328" t="s">
        <v>1847</v>
      </c>
      <c r="N178" s="328">
        <v>45608</v>
      </c>
      <c r="O178" s="328"/>
      <c r="P178" s="328"/>
      <c r="Q178" s="365"/>
      <c r="R178" s="365"/>
      <c r="S178" s="365"/>
      <c r="T178" s="365"/>
      <c r="U178" s="365"/>
      <c r="V178" s="365"/>
    </row>
    <row r="179" spans="1:22" ht="65.25" hidden="1" x14ac:dyDescent="0.25">
      <c r="A179" s="365"/>
      <c r="B179" s="365"/>
      <c r="C179" s="273">
        <v>153</v>
      </c>
      <c r="D179" s="392">
        <f>VLOOKUP(Tabla132[[#This Row],[Código INDRA]],Tabla13[[Código Indra]:[ID2]],24,FALSE)</f>
        <v>206</v>
      </c>
      <c r="E179" s="394"/>
      <c r="F179" s="393">
        <v>45580</v>
      </c>
      <c r="G179" s="273" t="s">
        <v>546</v>
      </c>
      <c r="H179" s="275" t="s">
        <v>547</v>
      </c>
      <c r="I179" s="273" t="s">
        <v>3300</v>
      </c>
      <c r="J179" s="273" t="str">
        <f>VLOOKUP(Tabla132[[#This Row],[Código INDRA]],Tabla13[[Código Indra]:[ID2]],8,FALSE)</f>
        <v>adalvarezm</v>
      </c>
      <c r="K179" s="273" t="s">
        <v>1436</v>
      </c>
      <c r="L179" s="275" t="s">
        <v>1850</v>
      </c>
      <c r="M179" s="273" t="s">
        <v>1851</v>
      </c>
      <c r="N179" s="273">
        <v>45608</v>
      </c>
      <c r="O179" s="385"/>
      <c r="P179" s="385"/>
      <c r="Q179" s="365"/>
      <c r="R179" s="365"/>
      <c r="S179" s="365"/>
      <c r="T179" s="365"/>
      <c r="U179" s="365"/>
      <c r="V179" s="365"/>
    </row>
    <row r="180" spans="1:22" ht="87" hidden="1" x14ac:dyDescent="0.25">
      <c r="A180" s="365"/>
      <c r="B180" s="365"/>
      <c r="C180" s="273">
        <v>154</v>
      </c>
      <c r="D180" s="392">
        <f>VLOOKUP(Tabla132[[#This Row],[Código INDRA]],Tabla13[[Código Indra]:[ID2]],24,FALSE)</f>
        <v>207</v>
      </c>
      <c r="E180" s="273"/>
      <c r="F180" s="393">
        <v>45586</v>
      </c>
      <c r="G180" s="273" t="s">
        <v>550</v>
      </c>
      <c r="H180" s="275" t="s">
        <v>1852</v>
      </c>
      <c r="I180" s="273" t="s">
        <v>3300</v>
      </c>
      <c r="J180" s="273" t="str">
        <f>VLOOKUP(Tabla132[[#This Row],[Código INDRA]],Tabla13[[Código Indra]:[ID2]],8,FALSE)</f>
        <v>adalvarezm</v>
      </c>
      <c r="K180" s="273" t="s">
        <v>1436</v>
      </c>
      <c r="L180" s="275" t="s">
        <v>1853</v>
      </c>
      <c r="M180" s="328" t="s">
        <v>1854</v>
      </c>
      <c r="N180" s="328"/>
      <c r="O180" s="328"/>
      <c r="P180" s="328"/>
      <c r="Q180" s="365"/>
      <c r="R180" s="365"/>
      <c r="S180" s="365"/>
      <c r="T180" s="365"/>
      <c r="U180" s="365"/>
      <c r="V180" s="365"/>
    </row>
    <row r="181" spans="1:22" ht="65.25" hidden="1" x14ac:dyDescent="0.25">
      <c r="A181" s="365"/>
      <c r="B181" s="365"/>
      <c r="C181" s="273"/>
      <c r="D181" s="392">
        <f>VLOOKUP(Tabla132[[#This Row],[Código INDRA]],Tabla13[[Código Indra]:[ID2]],24,FALSE)</f>
        <v>209</v>
      </c>
      <c r="E181" s="394"/>
      <c r="F181" s="393">
        <v>45700</v>
      </c>
      <c r="G181" s="273" t="s">
        <v>554</v>
      </c>
      <c r="H181" s="275" t="s">
        <v>555</v>
      </c>
      <c r="I181" s="273" t="s">
        <v>3303</v>
      </c>
      <c r="J181" s="273" t="str">
        <f>VLOOKUP(Tabla132[[#This Row],[Código INDRA]],Tabla13[[Código Indra]:[ID2]],8,FALSE)</f>
        <v>adalvarezm</v>
      </c>
      <c r="K181" s="273" t="s">
        <v>1436</v>
      </c>
      <c r="L181" s="275" t="s">
        <v>1855</v>
      </c>
      <c r="M181" s="273"/>
      <c r="N181" s="273"/>
      <c r="O181" s="385" t="s">
        <v>6</v>
      </c>
      <c r="P181" s="385" t="s">
        <v>1451</v>
      </c>
      <c r="Q181" s="365"/>
      <c r="R181" s="365"/>
      <c r="S181" s="365"/>
      <c r="T181" s="365"/>
      <c r="U181" s="365"/>
      <c r="V181" s="365"/>
    </row>
    <row r="182" spans="1:22" ht="409.5" hidden="1" x14ac:dyDescent="0.25">
      <c r="A182" s="365"/>
      <c r="B182" s="365"/>
      <c r="C182" s="273"/>
      <c r="D182" s="392">
        <f>VLOOKUP(Tabla132[[#This Row],[Código INDRA]],Tabla13[[Código Indra]:[ID2]],24,FALSE)</f>
        <v>210</v>
      </c>
      <c r="E182" s="273"/>
      <c r="F182" s="393">
        <v>45587</v>
      </c>
      <c r="G182" s="273" t="s">
        <v>79</v>
      </c>
      <c r="H182" s="275" t="s">
        <v>80</v>
      </c>
      <c r="I182" s="273" t="s">
        <v>3298</v>
      </c>
      <c r="J182" s="273">
        <f>VLOOKUP(Tabla132[[#This Row],[Código INDRA]],Tabla13[[Código Indra]:[ID2]],8,FALSE)</f>
        <v>0</v>
      </c>
      <c r="K182" s="273" t="s">
        <v>1436</v>
      </c>
      <c r="L182" s="275" t="s">
        <v>1858</v>
      </c>
      <c r="M182" s="409" t="s">
        <v>1856</v>
      </c>
      <c r="N182" s="328"/>
      <c r="O182" s="328" t="s">
        <v>6</v>
      </c>
      <c r="P182" s="328" t="s">
        <v>1451</v>
      </c>
      <c r="Q182" s="365"/>
      <c r="R182" s="365"/>
      <c r="S182" s="365"/>
      <c r="T182" s="365"/>
      <c r="U182" s="365"/>
      <c r="V182" s="365"/>
    </row>
    <row r="183" spans="1:22" ht="87" x14ac:dyDescent="0.25">
      <c r="A183" s="365"/>
      <c r="B183" s="365"/>
      <c r="C183" s="273"/>
      <c r="D183" s="392">
        <f>VLOOKUP(Tabla132[[#This Row],[Código INDRA]],Tabla13[[Código Indra]:[ID2]],24,FALSE)</f>
        <v>211</v>
      </c>
      <c r="E183" s="394"/>
      <c r="F183" s="393">
        <v>45588</v>
      </c>
      <c r="G183" s="273" t="s">
        <v>1121</v>
      </c>
      <c r="H183" s="275" t="s">
        <v>1122</v>
      </c>
      <c r="I183" s="273" t="s">
        <v>3298</v>
      </c>
      <c r="J183" s="273" t="str">
        <f>VLOOKUP(Tabla132[[#This Row],[Código INDRA]],Tabla13[[Código Indra]:[ID2]],8,FALSE)</f>
        <v>adalvarezm</v>
      </c>
      <c r="K183" s="273"/>
      <c r="L183" s="275" t="s">
        <v>3336</v>
      </c>
      <c r="M183" s="413" t="s">
        <v>3337</v>
      </c>
      <c r="N183" s="273"/>
      <c r="O183" s="385"/>
      <c r="P183" s="385"/>
      <c r="Q183" s="365"/>
      <c r="R183" s="365"/>
      <c r="S183" s="365"/>
      <c r="T183" s="365"/>
      <c r="U183" s="365"/>
      <c r="V183" s="365"/>
    </row>
    <row r="184" spans="1:22" ht="87" x14ac:dyDescent="0.25">
      <c r="A184" s="365"/>
      <c r="B184" s="365"/>
      <c r="C184" s="273"/>
      <c r="D184" s="392">
        <f>VLOOKUP(Tabla132[[#This Row],[Código INDRA]],Tabla13[[Código Indra]:[ID2]],24,FALSE)</f>
        <v>212</v>
      </c>
      <c r="E184" s="273"/>
      <c r="F184" s="393">
        <v>45589</v>
      </c>
      <c r="G184" s="273" t="s">
        <v>1124</v>
      </c>
      <c r="H184" s="275" t="s">
        <v>1125</v>
      </c>
      <c r="I184" s="273" t="s">
        <v>3298</v>
      </c>
      <c r="J184" s="273" t="str">
        <f>VLOOKUP(Tabla132[[#This Row],[Código INDRA]],Tabla13[[Código Indra]:[ID2]],8,FALSE)</f>
        <v>adalvarezm</v>
      </c>
      <c r="K184" s="273"/>
      <c r="L184" s="275" t="s">
        <v>3336</v>
      </c>
      <c r="M184" s="413" t="s">
        <v>3337</v>
      </c>
      <c r="N184" s="328"/>
      <c r="O184" s="328"/>
      <c r="P184" s="328"/>
      <c r="Q184" s="365"/>
      <c r="R184" s="365"/>
      <c r="S184" s="365"/>
      <c r="T184" s="365"/>
      <c r="U184" s="365"/>
      <c r="V184" s="365"/>
    </row>
    <row r="185" spans="1:22" ht="43.5" hidden="1" x14ac:dyDescent="0.25">
      <c r="A185" s="365"/>
      <c r="B185" s="365"/>
      <c r="C185" s="273"/>
      <c r="D185" s="392">
        <f>VLOOKUP(Tabla132[[#This Row],[Código INDRA]],Tabla13[[Código Indra]:[ID2]],24,FALSE)</f>
        <v>219</v>
      </c>
      <c r="E185" s="273"/>
      <c r="F185" s="393"/>
      <c r="G185" s="273" t="s">
        <v>115</v>
      </c>
      <c r="H185" s="275" t="s">
        <v>116</v>
      </c>
      <c r="I185" s="273"/>
      <c r="J185" s="273" t="str">
        <f>VLOOKUP(Tabla132[[#This Row],[Código INDRA]],Tabla13[[Código Indra]:[ID2]],8,FALSE)</f>
        <v>adalvarezm</v>
      </c>
      <c r="K185" s="273" t="s">
        <v>1436</v>
      </c>
      <c r="L185" s="275" t="s">
        <v>1859</v>
      </c>
      <c r="M185" s="328"/>
      <c r="N185" s="328"/>
      <c r="O185" s="328"/>
      <c r="P185" s="328"/>
      <c r="Q185" s="365"/>
      <c r="R185" s="365"/>
      <c r="S185" s="365"/>
      <c r="T185" s="365"/>
      <c r="U185" s="365"/>
      <c r="V185" s="365"/>
    </row>
    <row r="186" spans="1:22" ht="43.5" hidden="1" x14ac:dyDescent="0.25">
      <c r="A186" s="365"/>
      <c r="B186" s="365"/>
      <c r="C186" s="273"/>
      <c r="D186" s="392">
        <f>VLOOKUP(Tabla132[[#This Row],[Código INDRA]],Tabla13[[Código Indra]:[ID2]],24,FALSE)</f>
        <v>221</v>
      </c>
      <c r="E186" s="394"/>
      <c r="F186" s="393"/>
      <c r="G186" s="273" t="s">
        <v>712</v>
      </c>
      <c r="H186" s="275" t="s">
        <v>713</v>
      </c>
      <c r="I186" s="273"/>
      <c r="J186" s="273" t="str">
        <f>VLOOKUP(Tabla132[[#This Row],[Código INDRA]],Tabla13[[Código Indra]:[ID2]],8,FALSE)</f>
        <v>adalvarezm</v>
      </c>
      <c r="K186" s="273" t="s">
        <v>1436</v>
      </c>
      <c r="L186" s="275"/>
      <c r="M186" s="273"/>
      <c r="N186" s="273"/>
      <c r="O186" s="385"/>
      <c r="P186" s="385"/>
      <c r="Q186" s="365"/>
      <c r="R186" s="365"/>
      <c r="S186" s="365"/>
      <c r="T186" s="365"/>
      <c r="U186" s="365"/>
      <c r="V186" s="365"/>
    </row>
    <row r="187" spans="1:22" ht="174" hidden="1" x14ac:dyDescent="0.25">
      <c r="A187" s="365"/>
      <c r="B187" s="365"/>
      <c r="C187" s="273">
        <v>221</v>
      </c>
      <c r="D187" s="392">
        <f>VLOOKUP(Tabla132[[#This Row],[Código INDRA]],Tabla13[[Código Indra]:[ID2]],24,FALSE)</f>
        <v>113</v>
      </c>
      <c r="E187" s="273"/>
      <c r="F187" s="393"/>
      <c r="G187" s="273" t="s">
        <v>615</v>
      </c>
      <c r="H187" s="275" t="s">
        <v>616</v>
      </c>
      <c r="I187" s="273"/>
      <c r="J187" s="273" t="str">
        <f>VLOOKUP(Tabla132[[#This Row],[Código INDRA]],Tabla13[[Código Indra]:[ID2]],8,FALSE)</f>
        <v>mgomez</v>
      </c>
      <c r="K187" s="273" t="s">
        <v>1436</v>
      </c>
      <c r="L187" s="275" t="s">
        <v>1779</v>
      </c>
      <c r="M187" s="408" t="s">
        <v>1780</v>
      </c>
      <c r="N187" s="328"/>
      <c r="O187" s="328"/>
      <c r="P187" s="328"/>
      <c r="Q187" s="365"/>
      <c r="R187" s="365"/>
      <c r="S187" s="365"/>
      <c r="T187" s="365"/>
      <c r="U187" s="365"/>
      <c r="V187" s="365"/>
    </row>
    <row r="188" spans="1:22" ht="87" hidden="1" x14ac:dyDescent="0.25">
      <c r="A188" s="365"/>
      <c r="B188" s="365"/>
      <c r="C188" s="273"/>
      <c r="D188" s="392">
        <f>VLOOKUP(Tabla132[[#This Row],[Código INDRA]],Tabla13[[Código Indra]:[ID2]],24,FALSE)</f>
        <v>328</v>
      </c>
      <c r="E188" s="394"/>
      <c r="F188" s="393"/>
      <c r="G188" s="273" t="s">
        <v>118</v>
      </c>
      <c r="H188" s="275" t="s">
        <v>119</v>
      </c>
      <c r="I188" s="273"/>
      <c r="J188" s="273" t="str">
        <f>VLOOKUP(Tabla132[[#This Row],[Código INDRA]],Tabla13[[Código Indra]:[ID2]],8,FALSE)</f>
        <v>mgomez</v>
      </c>
      <c r="K188" s="273" t="s">
        <v>3338</v>
      </c>
      <c r="L188" s="275" t="s">
        <v>1868</v>
      </c>
      <c r="M188" s="408" t="s">
        <v>1869</v>
      </c>
      <c r="N188" s="273"/>
      <c r="O188" s="385"/>
      <c r="P188" s="385"/>
      <c r="Q188" s="365"/>
      <c r="R188" s="365"/>
      <c r="S188" s="365"/>
      <c r="T188" s="365"/>
      <c r="U188" s="365"/>
      <c r="V188" s="365"/>
    </row>
    <row r="189" spans="1:22" ht="87" x14ac:dyDescent="0.25">
      <c r="A189" s="365"/>
      <c r="B189" s="365"/>
      <c r="C189" s="273">
        <v>229</v>
      </c>
      <c r="D189" s="392">
        <f>VLOOKUP(Tabla132[[#This Row],[Código INDRA]],Tabla13[[Código Indra]:[ID2]],24,FALSE)</f>
        <v>210</v>
      </c>
      <c r="E189" s="273"/>
      <c r="F189" s="393"/>
      <c r="G189" s="330" t="s">
        <v>79</v>
      </c>
      <c r="H189" s="275" t="s">
        <v>50</v>
      </c>
      <c r="I189" s="273"/>
      <c r="J189" s="273"/>
      <c r="K189" s="273"/>
      <c r="L189" s="275" t="s">
        <v>1857</v>
      </c>
      <c r="M189" s="431" t="s">
        <v>3339</v>
      </c>
      <c r="N189" s="328"/>
      <c r="O189" s="328"/>
      <c r="P189" s="328"/>
      <c r="Q189" s="365"/>
      <c r="R189" s="365"/>
      <c r="S189" s="365"/>
      <c r="T189" s="365"/>
      <c r="U189" s="365"/>
      <c r="V189" s="365"/>
    </row>
    <row r="190" spans="1:22" ht="21.75" x14ac:dyDescent="0.25">
      <c r="A190" s="365"/>
      <c r="B190" s="365"/>
      <c r="C190" s="273"/>
      <c r="D190" s="392">
        <f>VLOOKUP(Tabla132[[#This Row],[Código INDRA]],Tabla13[[Código Indra]:[ID2]],24,FALSE)</f>
        <v>330</v>
      </c>
      <c r="E190" s="430"/>
      <c r="F190" s="393"/>
      <c r="G190" s="273" t="s">
        <v>169</v>
      </c>
      <c r="H190" s="275" t="s">
        <v>170</v>
      </c>
      <c r="I190" s="273"/>
      <c r="J190" s="273" t="str">
        <f>VLOOKUP(Tabla132[[#This Row],[Código INDRA]],Tabla13[[Código Indra]:[ID2]],8,FALSE)</f>
        <v>jgdelapena</v>
      </c>
      <c r="K190" s="273"/>
      <c r="L190" s="275" t="s">
        <v>1870</v>
      </c>
      <c r="M190" s="273"/>
      <c r="N190" s="328"/>
      <c r="O190" s="437"/>
      <c r="P190" s="437"/>
      <c r="Q190" s="365"/>
      <c r="R190" s="365"/>
      <c r="S190" s="365"/>
      <c r="T190" s="365"/>
      <c r="U190" s="365"/>
      <c r="V190" s="365"/>
    </row>
    <row r="191" spans="1:22" ht="43.5" x14ac:dyDescent="0.25">
      <c r="A191" s="365"/>
      <c r="B191" s="365"/>
      <c r="C191" s="273"/>
      <c r="D191" s="392">
        <f>VLOOKUP(Tabla132[[#This Row],[Código INDRA]],Tabla13[[Código Indra]:[ID2]],24,FALSE)</f>
        <v>361</v>
      </c>
      <c r="E191" s="429"/>
      <c r="F191" s="393">
        <v>45698</v>
      </c>
      <c r="G191" s="273" t="s">
        <v>105</v>
      </c>
      <c r="H191" s="275" t="s">
        <v>106</v>
      </c>
      <c r="I191" s="273"/>
      <c r="J191" s="273" t="str">
        <f>VLOOKUP(Tabla132[[#This Row],[Código INDRA]],Tabla13[[Código Indra]:[ID2]],8,FALSE)</f>
        <v>mmvicente</v>
      </c>
      <c r="K191" s="273"/>
      <c r="L191" s="275" t="s">
        <v>1874</v>
      </c>
      <c r="M191" s="418" t="s">
        <v>1871</v>
      </c>
      <c r="N191" s="273"/>
      <c r="O191" s="273" t="s">
        <v>6</v>
      </c>
      <c r="P191" s="273" t="s">
        <v>1451</v>
      </c>
      <c r="Q191" s="365"/>
      <c r="R191" s="365"/>
      <c r="S191" s="365"/>
      <c r="T191" s="365"/>
      <c r="U191" s="365"/>
      <c r="V191" s="365"/>
    </row>
    <row r="192" spans="1:22" ht="43.5" x14ac:dyDescent="0.25">
      <c r="A192" s="365"/>
      <c r="B192" s="365"/>
      <c r="C192" s="273">
        <v>226</v>
      </c>
      <c r="D192" s="392">
        <f>VLOOKUP(Tabla132[[#This Row],[Código INDRA]],Tabla13[[Código Indra]:[ID2]],24,FALSE)</f>
        <v>364</v>
      </c>
      <c r="E192" s="394"/>
      <c r="F192" s="393"/>
      <c r="G192" s="273" t="s">
        <v>774</v>
      </c>
      <c r="H192" s="275" t="s">
        <v>775</v>
      </c>
      <c r="I192" s="273" t="s">
        <v>3304</v>
      </c>
      <c r="J192" s="273" t="str">
        <f>VLOOKUP(Tabla132[[#This Row],[Código INDRA]],Tabla13[[Código Indra]:[ID2]],8,FALSE)</f>
        <v>pcasadop/mmvicente</v>
      </c>
      <c r="K192" s="273"/>
      <c r="L192" s="275" t="s">
        <v>1872</v>
      </c>
      <c r="M192" s="409" t="s">
        <v>1838</v>
      </c>
      <c r="N192" s="273"/>
      <c r="O192" s="385"/>
      <c r="P192" s="385"/>
      <c r="Q192" s="365"/>
      <c r="R192" s="365"/>
      <c r="S192" s="365"/>
      <c r="T192" s="365"/>
      <c r="U192" s="365"/>
      <c r="V192" s="365"/>
    </row>
    <row r="193" spans="1:22" ht="152.25" hidden="1" x14ac:dyDescent="0.25">
      <c r="A193" s="365"/>
      <c r="B193" s="365"/>
      <c r="C193" s="273"/>
      <c r="D193" s="392">
        <f>VLOOKUP(Tabla132[[#This Row],[Código INDRA]],Tabla13[[Código Indra]:[ID2]],24,FALSE)</f>
        <v>374</v>
      </c>
      <c r="E193" s="273"/>
      <c r="F193" s="393">
        <v>45698</v>
      </c>
      <c r="G193" s="273" t="s">
        <v>178</v>
      </c>
      <c r="H193" s="275" t="s">
        <v>179</v>
      </c>
      <c r="I193" s="273"/>
      <c r="J193" s="273" t="str">
        <f>VLOOKUP(Tabla132[[#This Row],[Código INDRA]],Tabla13[[Código Indra]:[ID2]],8,FALSE)</f>
        <v>adalvarezm</v>
      </c>
      <c r="K193" s="273" t="s">
        <v>1436</v>
      </c>
      <c r="L193" s="275" t="s">
        <v>1874</v>
      </c>
      <c r="M193" s="413" t="s">
        <v>1873</v>
      </c>
      <c r="N193" s="328"/>
      <c r="O193" s="328" t="s">
        <v>6</v>
      </c>
      <c r="P193" s="328" t="s">
        <v>1451</v>
      </c>
      <c r="Q193" s="365"/>
      <c r="R193" s="365"/>
      <c r="S193" s="365"/>
      <c r="T193" s="365"/>
      <c r="U193" s="365"/>
      <c r="V193" s="365"/>
    </row>
    <row r="194" spans="1:22" ht="43.5" x14ac:dyDescent="0.25">
      <c r="A194" s="365"/>
      <c r="B194" s="365"/>
      <c r="C194" s="273"/>
      <c r="D194" s="392">
        <f>VLOOKUP(Tabla132[[#This Row],[Código INDRA]],Tabla13[[Código Indra]:[ID2]],24,FALSE)</f>
        <v>375</v>
      </c>
      <c r="E194" s="394"/>
      <c r="F194" s="393"/>
      <c r="G194" s="273" t="s">
        <v>905</v>
      </c>
      <c r="H194" s="275" t="s">
        <v>1875</v>
      </c>
      <c r="I194" s="273"/>
      <c r="J194" s="273" t="str">
        <f>VLOOKUP(Tabla132[[#This Row],[Código INDRA]],Tabla13[[Código Indra]:[ID2]],8,FALSE)</f>
        <v>adalvarezm</v>
      </c>
      <c r="K194" s="273"/>
      <c r="L194" s="275" t="s">
        <v>1876</v>
      </c>
      <c r="M194" s="408" t="s">
        <v>1877</v>
      </c>
      <c r="N194" s="273"/>
      <c r="O194" s="385" t="s">
        <v>6</v>
      </c>
      <c r="P194" s="385" t="s">
        <v>1451</v>
      </c>
      <c r="Q194" s="365"/>
      <c r="R194" s="365"/>
      <c r="S194" s="365"/>
      <c r="T194" s="365"/>
      <c r="U194" s="365"/>
      <c r="V194" s="365"/>
    </row>
    <row r="195" spans="1:22" ht="152.25" hidden="1" x14ac:dyDescent="0.25">
      <c r="A195" s="365"/>
      <c r="B195" s="365"/>
      <c r="C195" s="273"/>
      <c r="D195" s="392">
        <f>VLOOKUP(Tabla132[[#This Row],[Código INDRA]],Tabla13[[Código Indra]:[ID2]],24,FALSE)</f>
        <v>378</v>
      </c>
      <c r="E195" s="273"/>
      <c r="F195" s="393">
        <v>45698</v>
      </c>
      <c r="G195" s="273" t="s">
        <v>172</v>
      </c>
      <c r="H195" s="275" t="s">
        <v>173</v>
      </c>
      <c r="I195" s="273"/>
      <c r="J195" s="273" t="str">
        <f>VLOOKUP(Tabla132[[#This Row],[Código INDRA]],Tabla13[[Código Indra]:[ID2]],8,FALSE)</f>
        <v>jgdelapena</v>
      </c>
      <c r="K195" s="273" t="s">
        <v>1436</v>
      </c>
      <c r="L195" s="275" t="s">
        <v>1874</v>
      </c>
      <c r="M195" s="413" t="s">
        <v>1873</v>
      </c>
      <c r="N195" s="328"/>
      <c r="O195" s="328"/>
      <c r="P195" s="328"/>
      <c r="Q195" s="365"/>
      <c r="R195" s="365"/>
      <c r="S195" s="365"/>
      <c r="T195" s="365"/>
      <c r="U195" s="365"/>
      <c r="V195" s="365"/>
    </row>
    <row r="196" spans="1:22" ht="87" x14ac:dyDescent="0.25">
      <c r="A196" s="365"/>
      <c r="B196" s="365"/>
      <c r="C196" s="273"/>
      <c r="D196" s="392">
        <f>VLOOKUP(Tabla132[[#This Row],[Código INDRA]],Tabla13[[Código Indra]:[ID2]],24,FALSE)</f>
        <v>382</v>
      </c>
      <c r="E196" s="394"/>
      <c r="F196" s="393">
        <v>45700</v>
      </c>
      <c r="G196" s="273" t="s">
        <v>1878</v>
      </c>
      <c r="H196" s="275" t="s">
        <v>1879</v>
      </c>
      <c r="I196" s="273" t="s">
        <v>3298</v>
      </c>
      <c r="J196" s="273" t="str">
        <f>VLOOKUP(Tabla132[[#This Row],[Código INDRA]],Tabla13[[Código Indra]:[ID2]],8,FALSE)</f>
        <v>jgdelapena</v>
      </c>
      <c r="K196" s="273"/>
      <c r="L196" s="275" t="s">
        <v>1880</v>
      </c>
      <c r="M196" s="408" t="s">
        <v>1877</v>
      </c>
      <c r="N196" s="273"/>
      <c r="O196" s="385" t="s">
        <v>6</v>
      </c>
      <c r="P196" s="385" t="s">
        <v>1451</v>
      </c>
      <c r="Q196" s="365"/>
      <c r="R196" s="365"/>
      <c r="S196" s="365"/>
      <c r="T196" s="365"/>
      <c r="U196" s="365"/>
      <c r="V196" s="365"/>
    </row>
    <row r="197" spans="1:22" ht="130.5" x14ac:dyDescent="0.25">
      <c r="A197" s="365"/>
      <c r="B197" s="365"/>
      <c r="C197" s="273"/>
      <c r="D197" s="392">
        <f>VLOOKUP(Tabla132[[#This Row],[Código INDRA]],Tabla13[[Código Indra]:[ID2]],24,FALSE)</f>
        <v>383</v>
      </c>
      <c r="E197" s="273"/>
      <c r="F197" s="393">
        <v>45700</v>
      </c>
      <c r="G197" s="273" t="s">
        <v>1881</v>
      </c>
      <c r="H197" s="275" t="s">
        <v>1882</v>
      </c>
      <c r="I197" s="273" t="s">
        <v>3298</v>
      </c>
      <c r="J197" s="273" t="str">
        <f>VLOOKUP(Tabla132[[#This Row],[Código INDRA]],Tabla13[[Código Indra]:[ID2]],8,FALSE)</f>
        <v>jgdelapena</v>
      </c>
      <c r="K197" s="273"/>
      <c r="L197" s="275" t="s">
        <v>1883</v>
      </c>
      <c r="M197" s="409" t="s">
        <v>1877</v>
      </c>
      <c r="N197" s="328"/>
      <c r="O197" s="328" t="s">
        <v>6</v>
      </c>
      <c r="P197" s="328" t="s">
        <v>1451</v>
      </c>
      <c r="Q197" s="365"/>
      <c r="R197" s="365"/>
      <c r="S197" s="365"/>
      <c r="T197" s="365"/>
      <c r="U197" s="365"/>
      <c r="V197" s="365"/>
    </row>
    <row r="198" spans="1:22" ht="65.25" hidden="1" x14ac:dyDescent="0.25">
      <c r="A198" s="365"/>
      <c r="B198" s="365"/>
      <c r="C198" s="273"/>
      <c r="D198" s="392">
        <f>VLOOKUP(Tabla132[[#This Row],[Código INDRA]],Tabla13[[Código Indra]:[ID2]],24,FALSE)</f>
        <v>385</v>
      </c>
      <c r="E198" s="394"/>
      <c r="F198" s="393">
        <v>45698</v>
      </c>
      <c r="G198" s="273" t="s">
        <v>95</v>
      </c>
      <c r="H198" s="275" t="s">
        <v>96</v>
      </c>
      <c r="I198" s="273"/>
      <c r="J198" s="273" t="str">
        <f>VLOOKUP(Tabla132[[#This Row],[Código INDRA]],Tabla13[[Código Indra]:[ID2]],8,FALSE)</f>
        <v>mgomez</v>
      </c>
      <c r="K198" s="273" t="s">
        <v>1436</v>
      </c>
      <c r="L198" s="275" t="s">
        <v>1874</v>
      </c>
      <c r="M198" s="416" t="s">
        <v>1885</v>
      </c>
      <c r="N198" s="273"/>
      <c r="O198" s="385" t="s">
        <v>6</v>
      </c>
      <c r="P198" s="385" t="s">
        <v>1451</v>
      </c>
      <c r="Q198" s="365"/>
      <c r="R198" s="365"/>
      <c r="S198" s="365"/>
      <c r="T198" s="365"/>
      <c r="U198" s="365"/>
      <c r="V198" s="365"/>
    </row>
    <row r="199" spans="1:22" ht="65.25" hidden="1" x14ac:dyDescent="0.25">
      <c r="A199" s="365"/>
      <c r="B199" s="365"/>
      <c r="C199" s="273">
        <v>156</v>
      </c>
      <c r="D199" s="392">
        <f>VLOOKUP(Tabla132[[#This Row],[Código INDRA]],Tabla13[[Código Indra]:[ID2]],24,FALSE)</f>
        <v>388</v>
      </c>
      <c r="E199" s="273"/>
      <c r="F199" s="393">
        <v>45635</v>
      </c>
      <c r="G199" s="273" t="s">
        <v>810</v>
      </c>
      <c r="H199" s="275" t="s">
        <v>811</v>
      </c>
      <c r="I199" s="273"/>
      <c r="J199" s="273" t="str">
        <f>VLOOKUP(Tabla132[[#This Row],[Código INDRA]],Tabla13[[Código Indra]:[ID2]],8,FALSE)</f>
        <v>adalvarezm</v>
      </c>
      <c r="K199" s="273" t="s">
        <v>1436</v>
      </c>
      <c r="L199" s="275" t="s">
        <v>1886</v>
      </c>
      <c r="M199" s="273" t="s">
        <v>1721</v>
      </c>
      <c r="N199" s="328"/>
      <c r="O199" s="328"/>
      <c r="P199" s="328"/>
      <c r="Q199" s="365"/>
      <c r="R199" s="365"/>
      <c r="S199" s="365"/>
      <c r="T199" s="365"/>
      <c r="U199" s="365"/>
      <c r="V199" s="365"/>
    </row>
    <row r="200" spans="1:22" ht="409.5" hidden="1" x14ac:dyDescent="0.25">
      <c r="A200" s="365"/>
      <c r="B200" s="365"/>
      <c r="C200" s="273"/>
      <c r="D200" s="392">
        <f>VLOOKUP(Tabla132[[#This Row],[Código INDRA]],Tabla13[[Código Indra]:[ID2]],24,FALSE)</f>
        <v>390</v>
      </c>
      <c r="E200" s="394"/>
      <c r="F200" s="393">
        <v>45698</v>
      </c>
      <c r="G200" s="273" t="s">
        <v>52</v>
      </c>
      <c r="H200" s="275" t="s">
        <v>53</v>
      </c>
      <c r="I200" s="273"/>
      <c r="J200" s="273" t="str">
        <f>VLOOKUP(Tabla132[[#This Row],[Código INDRA]],Tabla13[[Código Indra]:[ID2]],8,FALSE)</f>
        <v>adalvarezm</v>
      </c>
      <c r="K200" s="273" t="s">
        <v>1436</v>
      </c>
      <c r="L200" s="275" t="s">
        <v>1888</v>
      </c>
      <c r="M200" s="409" t="s">
        <v>1887</v>
      </c>
      <c r="N200" s="273"/>
      <c r="O200" s="385" t="s">
        <v>6</v>
      </c>
      <c r="P200" s="385" t="s">
        <v>1451</v>
      </c>
      <c r="Q200" s="365"/>
      <c r="R200" s="365"/>
      <c r="S200" s="365"/>
      <c r="T200" s="365"/>
      <c r="U200" s="365"/>
      <c r="V200" s="365"/>
    </row>
    <row r="201" spans="1:22" ht="195.75" hidden="1" x14ac:dyDescent="0.25">
      <c r="A201" s="365"/>
      <c r="B201" s="365"/>
      <c r="C201" s="273">
        <v>157</v>
      </c>
      <c r="D201" s="392">
        <f>VLOOKUP(Tabla132[[#This Row],[Código INDRA]],Tabla13[[Código Indra]:[ID2]],24,FALSE)</f>
        <v>391</v>
      </c>
      <c r="E201" s="273"/>
      <c r="F201" s="393">
        <v>45643</v>
      </c>
      <c r="G201" s="273" t="s">
        <v>917</v>
      </c>
      <c r="H201" s="275" t="s">
        <v>918</v>
      </c>
      <c r="I201" s="273" t="s">
        <v>3290</v>
      </c>
      <c r="J201" s="273" t="str">
        <f>VLOOKUP(Tabla132[[#This Row],[Código INDRA]],Tabla13[[Código Indra]:[ID2]],8,FALSE)</f>
        <v>funtaru</v>
      </c>
      <c r="K201" s="273" t="s">
        <v>1436</v>
      </c>
      <c r="L201" s="275" t="s">
        <v>1889</v>
      </c>
      <c r="M201" s="409" t="s">
        <v>1890</v>
      </c>
      <c r="N201" s="328"/>
      <c r="O201" s="328" t="s">
        <v>6</v>
      </c>
      <c r="P201" s="328" t="s">
        <v>1451</v>
      </c>
      <c r="Q201" s="365"/>
      <c r="R201" s="365"/>
      <c r="S201" s="365"/>
      <c r="T201" s="365"/>
      <c r="U201" s="365"/>
      <c r="V201" s="365"/>
    </row>
    <row r="202" spans="1:22" ht="43.5" hidden="1" x14ac:dyDescent="0.25">
      <c r="A202" s="365"/>
      <c r="B202" s="365"/>
      <c r="C202" s="273">
        <v>158</v>
      </c>
      <c r="D202" s="392">
        <f>VLOOKUP(Tabla132[[#This Row],[Código INDRA]],Tabla13[[Código Indra]:[ID2]],24,FALSE)</f>
        <v>391</v>
      </c>
      <c r="E202" s="394"/>
      <c r="F202" s="393">
        <v>45643</v>
      </c>
      <c r="G202" s="273" t="s">
        <v>917</v>
      </c>
      <c r="H202" s="275" t="s">
        <v>918</v>
      </c>
      <c r="I202" s="273" t="s">
        <v>3300</v>
      </c>
      <c r="J202" s="273" t="str">
        <f>VLOOKUP(Tabla132[[#This Row],[Código INDRA]],Tabla13[[Código Indra]:[ID2]],8,FALSE)</f>
        <v>funtaru</v>
      </c>
      <c r="K202" s="273" t="s">
        <v>1436</v>
      </c>
      <c r="L202" s="275" t="s">
        <v>1889</v>
      </c>
      <c r="M202" s="409" t="s">
        <v>1891</v>
      </c>
      <c r="N202" s="273"/>
      <c r="O202" s="385"/>
      <c r="P202" s="385"/>
      <c r="Q202" s="365"/>
      <c r="R202" s="365"/>
      <c r="S202" s="365"/>
      <c r="T202" s="365"/>
      <c r="U202" s="365"/>
      <c r="V202" s="365"/>
    </row>
    <row r="203" spans="1:22" ht="43.5" hidden="1" x14ac:dyDescent="0.25">
      <c r="A203" s="365"/>
      <c r="B203" s="365"/>
      <c r="C203" s="273"/>
      <c r="D203" s="392">
        <f>VLOOKUP(Tabla132[[#This Row],[Código INDRA]],Tabla13[[Código Indra]:[ID2]],24,FALSE)</f>
        <v>411</v>
      </c>
      <c r="E203" s="273"/>
      <c r="F203" s="393"/>
      <c r="G203" s="273" t="s">
        <v>1018</v>
      </c>
      <c r="H203" s="275" t="s">
        <v>1019</v>
      </c>
      <c r="I203" s="273" t="s">
        <v>3327</v>
      </c>
      <c r="J203" s="273" t="str">
        <f>VLOOKUP(Tabla132[[#This Row],[Código INDRA]],Tabla13[[Código Indra]:[ID2]],8,FALSE)</f>
        <v>funtaru</v>
      </c>
      <c r="K203" s="273" t="s">
        <v>1436</v>
      </c>
      <c r="L203" s="275" t="s">
        <v>1892</v>
      </c>
      <c r="M203" s="273" t="s">
        <v>1893</v>
      </c>
      <c r="N203" s="328"/>
      <c r="O203" s="328"/>
      <c r="P203" s="328"/>
      <c r="Q203" s="365"/>
      <c r="R203" s="365"/>
      <c r="S203" s="365"/>
      <c r="T203" s="365"/>
      <c r="U203" s="365"/>
      <c r="V203" s="365"/>
    </row>
    <row r="204" spans="1:22" ht="174" hidden="1" x14ac:dyDescent="0.25">
      <c r="A204" s="365"/>
      <c r="B204" s="365"/>
      <c r="C204" s="273"/>
      <c r="D204" s="392">
        <f>VLOOKUP(Tabla132[[#This Row],[Código INDRA]],Tabla13[[Código Indra]:[ID2]],24,FALSE)</f>
        <v>419</v>
      </c>
      <c r="E204" s="394"/>
      <c r="F204" s="393">
        <v>45597</v>
      </c>
      <c r="G204" s="273" t="s">
        <v>19</v>
      </c>
      <c r="H204" s="275" t="s">
        <v>20</v>
      </c>
      <c r="I204" s="273" t="s">
        <v>3298</v>
      </c>
      <c r="J204" s="273" t="str">
        <f>VLOOKUP(Tabla132[[#This Row],[Código INDRA]],Tabla13[[Código Indra]:[ID2]],8,FALSE)</f>
        <v>adalvarezm</v>
      </c>
      <c r="K204" s="273" t="s">
        <v>1436</v>
      </c>
      <c r="L204" s="275" t="s">
        <v>1896</v>
      </c>
      <c r="M204" s="408" t="s">
        <v>1895</v>
      </c>
      <c r="N204" s="273"/>
      <c r="O204" s="385" t="s">
        <v>6</v>
      </c>
      <c r="P204" s="385" t="s">
        <v>3293</v>
      </c>
      <c r="Q204" s="365"/>
      <c r="R204" s="365"/>
      <c r="S204" s="365"/>
      <c r="T204" s="365"/>
      <c r="U204" s="365"/>
      <c r="V204" s="365"/>
    </row>
    <row r="205" spans="1:22" ht="174" hidden="1" x14ac:dyDescent="0.25">
      <c r="A205" s="365"/>
      <c r="B205" s="365"/>
      <c r="C205" s="273"/>
      <c r="D205" s="392">
        <f>VLOOKUP(Tabla132[[#This Row],[Código INDRA]],Tabla13[[Código Indra]:[ID2]],24,FALSE)</f>
        <v>419</v>
      </c>
      <c r="E205" s="273"/>
      <c r="F205" s="393">
        <v>45597</v>
      </c>
      <c r="G205" s="273" t="s">
        <v>19</v>
      </c>
      <c r="H205" s="275" t="s">
        <v>20</v>
      </c>
      <c r="I205" s="273" t="s">
        <v>3298</v>
      </c>
      <c r="J205" s="273" t="str">
        <f>VLOOKUP(Tabla132[[#This Row],[Código INDRA]],Tabla13[[Código Indra]:[ID2]],8,FALSE)</f>
        <v>adalvarezm</v>
      </c>
      <c r="K205" s="273" t="s">
        <v>1436</v>
      </c>
      <c r="L205" s="275" t="s">
        <v>1897</v>
      </c>
      <c r="M205" s="409" t="s">
        <v>1895</v>
      </c>
      <c r="N205" s="328"/>
      <c r="O205" s="328" t="s">
        <v>6</v>
      </c>
      <c r="P205" s="328" t="s">
        <v>3293</v>
      </c>
      <c r="Q205" s="365"/>
      <c r="R205" s="365"/>
      <c r="S205" s="365"/>
      <c r="T205" s="365"/>
      <c r="U205" s="365"/>
      <c r="V205" s="365"/>
    </row>
    <row r="206" spans="1:22" ht="174" hidden="1" x14ac:dyDescent="0.25">
      <c r="A206" s="365"/>
      <c r="B206" s="365"/>
      <c r="C206" s="273"/>
      <c r="D206" s="392">
        <f>VLOOKUP(Tabla132[[#This Row],[Código INDRA]],Tabla13[[Código Indra]:[ID2]],24,FALSE)</f>
        <v>419</v>
      </c>
      <c r="E206" s="394"/>
      <c r="F206" s="393">
        <v>45597</v>
      </c>
      <c r="G206" s="273" t="s">
        <v>19</v>
      </c>
      <c r="H206" s="275" t="s">
        <v>20</v>
      </c>
      <c r="I206" s="273" t="s">
        <v>3298</v>
      </c>
      <c r="J206" s="273" t="str">
        <f>VLOOKUP(Tabla132[[#This Row],[Código INDRA]],Tabla13[[Código Indra]:[ID2]],8,FALSE)</f>
        <v>adalvarezm</v>
      </c>
      <c r="K206" s="273" t="s">
        <v>1436</v>
      </c>
      <c r="L206" s="275" t="s">
        <v>1898</v>
      </c>
      <c r="M206" s="408" t="s">
        <v>1895</v>
      </c>
      <c r="N206" s="273"/>
      <c r="O206" s="385" t="s">
        <v>6</v>
      </c>
      <c r="P206" s="385" t="s">
        <v>3293</v>
      </c>
      <c r="Q206" s="365"/>
      <c r="R206" s="365"/>
      <c r="S206" s="365"/>
      <c r="T206" s="365"/>
      <c r="U206" s="365"/>
      <c r="V206" s="365"/>
    </row>
    <row r="207" spans="1:22" ht="174" hidden="1" x14ac:dyDescent="0.25">
      <c r="A207" s="365"/>
      <c r="B207" s="365"/>
      <c r="C207" s="273"/>
      <c r="D207" s="392">
        <f>VLOOKUP(Tabla132[[#This Row],[Código INDRA]],Tabla13[[Código Indra]:[ID2]],24,FALSE)</f>
        <v>419</v>
      </c>
      <c r="E207" s="273"/>
      <c r="F207" s="393">
        <v>45597</v>
      </c>
      <c r="G207" s="273" t="s">
        <v>19</v>
      </c>
      <c r="H207" s="275" t="s">
        <v>20</v>
      </c>
      <c r="I207" s="273" t="s">
        <v>3298</v>
      </c>
      <c r="J207" s="273" t="str">
        <f>VLOOKUP(Tabla132[[#This Row],[Código INDRA]],Tabla13[[Código Indra]:[ID2]],8,FALSE)</f>
        <v>adalvarezm</v>
      </c>
      <c r="K207" s="273" t="s">
        <v>1436</v>
      </c>
      <c r="L207" s="275" t="s">
        <v>1899</v>
      </c>
      <c r="M207" s="409" t="s">
        <v>1895</v>
      </c>
      <c r="N207" s="328"/>
      <c r="O207" s="328" t="s">
        <v>6</v>
      </c>
      <c r="P207" s="328" t="s">
        <v>3293</v>
      </c>
      <c r="Q207" s="365"/>
      <c r="R207" s="365"/>
      <c r="S207" s="365"/>
      <c r="T207" s="365"/>
      <c r="U207" s="365"/>
      <c r="V207" s="365"/>
    </row>
    <row r="208" spans="1:22" ht="174" hidden="1" x14ac:dyDescent="0.25">
      <c r="A208" s="365"/>
      <c r="B208" s="365"/>
      <c r="C208" s="273"/>
      <c r="D208" s="392">
        <f>VLOOKUP(Tabla132[[#This Row],[Código INDRA]],Tabla13[[Código Indra]:[ID2]],24,FALSE)</f>
        <v>419</v>
      </c>
      <c r="E208" s="394"/>
      <c r="F208" s="393">
        <v>45597</v>
      </c>
      <c r="G208" s="273" t="s">
        <v>19</v>
      </c>
      <c r="H208" s="275" t="s">
        <v>20</v>
      </c>
      <c r="I208" s="273" t="s">
        <v>3290</v>
      </c>
      <c r="J208" s="273" t="str">
        <f>VLOOKUP(Tabla132[[#This Row],[Código INDRA]],Tabla13[[Código Indra]:[ID2]],8,FALSE)</f>
        <v>adalvarezm</v>
      </c>
      <c r="K208" s="273" t="s">
        <v>1436</v>
      </c>
      <c r="L208" s="275" t="s">
        <v>1900</v>
      </c>
      <c r="M208" s="408" t="s">
        <v>1895</v>
      </c>
      <c r="N208" s="273"/>
      <c r="O208" s="385" t="s">
        <v>6</v>
      </c>
      <c r="P208" s="385" t="s">
        <v>3293</v>
      </c>
      <c r="Q208" s="365"/>
      <c r="R208" s="365"/>
      <c r="S208" s="365"/>
      <c r="T208" s="365"/>
      <c r="U208" s="365"/>
      <c r="V208" s="365"/>
    </row>
    <row r="209" spans="1:22" ht="174" hidden="1" x14ac:dyDescent="0.25">
      <c r="A209" s="365"/>
      <c r="B209" s="365"/>
      <c r="C209" s="273"/>
      <c r="D209" s="392">
        <f>VLOOKUP(Tabla132[[#This Row],[Código INDRA]],Tabla13[[Código Indra]:[ID2]],24,FALSE)</f>
        <v>419</v>
      </c>
      <c r="E209" s="273"/>
      <c r="F209" s="393">
        <v>45597</v>
      </c>
      <c r="G209" s="273" t="s">
        <v>19</v>
      </c>
      <c r="H209" s="275" t="s">
        <v>20</v>
      </c>
      <c r="I209" s="273" t="s">
        <v>3290</v>
      </c>
      <c r="J209" s="273" t="str">
        <f>VLOOKUP(Tabla132[[#This Row],[Código INDRA]],Tabla13[[Código Indra]:[ID2]],8,FALSE)</f>
        <v>adalvarezm</v>
      </c>
      <c r="K209" s="273" t="s">
        <v>1436</v>
      </c>
      <c r="L209" s="275" t="s">
        <v>1901</v>
      </c>
      <c r="M209" s="409" t="s">
        <v>1895</v>
      </c>
      <c r="N209" s="328"/>
      <c r="O209" s="328" t="s">
        <v>6</v>
      </c>
      <c r="P209" s="328" t="s">
        <v>3293</v>
      </c>
      <c r="Q209" s="365"/>
      <c r="R209" s="365"/>
      <c r="S209" s="365"/>
      <c r="T209" s="365"/>
      <c r="U209" s="365"/>
      <c r="V209" s="365"/>
    </row>
    <row r="210" spans="1:22" ht="152.25" hidden="1" x14ac:dyDescent="0.25">
      <c r="A210" s="365"/>
      <c r="B210" s="365"/>
      <c r="C210" s="273"/>
      <c r="D210" s="392">
        <f>VLOOKUP(Tabla132[[#This Row],[Código INDRA]],Tabla13[[Código Indra]:[ID2]],24,FALSE)</f>
        <v>419</v>
      </c>
      <c r="E210" s="394"/>
      <c r="F210" s="393">
        <v>45597</v>
      </c>
      <c r="G210" s="273" t="s">
        <v>19</v>
      </c>
      <c r="H210" s="275" t="s">
        <v>20</v>
      </c>
      <c r="I210" s="273" t="s">
        <v>3298</v>
      </c>
      <c r="J210" s="273" t="str">
        <f>VLOOKUP(Tabla132[[#This Row],[Código INDRA]],Tabla13[[Código Indra]:[ID2]],8,FALSE)</f>
        <v>adalvarezm</v>
      </c>
      <c r="K210" s="273" t="s">
        <v>1436</v>
      </c>
      <c r="L210" s="275" t="s">
        <v>1902</v>
      </c>
      <c r="M210" s="408" t="s">
        <v>1903</v>
      </c>
      <c r="N210" s="273"/>
      <c r="O210" s="385" t="s">
        <v>6</v>
      </c>
      <c r="P210" s="385" t="s">
        <v>3293</v>
      </c>
      <c r="Q210" s="365"/>
      <c r="R210" s="365"/>
      <c r="S210" s="365"/>
      <c r="T210" s="365"/>
      <c r="U210" s="365"/>
      <c r="V210" s="365"/>
    </row>
    <row r="211" spans="1:22" ht="174" hidden="1" x14ac:dyDescent="0.25">
      <c r="A211" s="365"/>
      <c r="B211" s="365"/>
      <c r="C211" s="273"/>
      <c r="D211" s="392">
        <f>VLOOKUP(Tabla132[[#This Row],[Código INDRA]],Tabla13[[Código Indra]:[ID2]],24,FALSE)</f>
        <v>419</v>
      </c>
      <c r="E211" s="273"/>
      <c r="F211" s="393">
        <v>45597</v>
      </c>
      <c r="G211" s="273" t="s">
        <v>19</v>
      </c>
      <c r="H211" s="275" t="s">
        <v>20</v>
      </c>
      <c r="I211" s="273" t="s">
        <v>3298</v>
      </c>
      <c r="J211" s="273" t="str">
        <f>VLOOKUP(Tabla132[[#This Row],[Código INDRA]],Tabla13[[Código Indra]:[ID2]],8,FALSE)</f>
        <v>adalvarezm</v>
      </c>
      <c r="K211" s="273" t="s">
        <v>1436</v>
      </c>
      <c r="L211" s="275" t="s">
        <v>1904</v>
      </c>
      <c r="M211" s="409" t="s">
        <v>1895</v>
      </c>
      <c r="N211" s="328"/>
      <c r="O211" s="328" t="s">
        <v>6</v>
      </c>
      <c r="P211" s="328" t="s">
        <v>3293</v>
      </c>
      <c r="Q211" s="365"/>
      <c r="R211" s="365"/>
      <c r="S211" s="365"/>
      <c r="T211" s="365"/>
      <c r="U211" s="365"/>
      <c r="V211" s="365"/>
    </row>
    <row r="212" spans="1:22" ht="174" hidden="1" x14ac:dyDescent="0.25">
      <c r="A212" s="365"/>
      <c r="B212" s="365"/>
      <c r="C212" s="273"/>
      <c r="D212" s="392">
        <f>VLOOKUP(Tabla132[[#This Row],[Código INDRA]],Tabla13[[Código Indra]:[ID2]],24,FALSE)</f>
        <v>419</v>
      </c>
      <c r="E212" s="394"/>
      <c r="F212" s="393">
        <v>45597</v>
      </c>
      <c r="G212" s="273" t="s">
        <v>19</v>
      </c>
      <c r="H212" s="275" t="s">
        <v>20</v>
      </c>
      <c r="I212" s="273" t="s">
        <v>3298</v>
      </c>
      <c r="J212" s="273" t="str">
        <f>VLOOKUP(Tabla132[[#This Row],[Código INDRA]],Tabla13[[Código Indra]:[ID2]],8,FALSE)</f>
        <v>adalvarezm</v>
      </c>
      <c r="K212" s="273" t="s">
        <v>1436</v>
      </c>
      <c r="L212" s="275" t="s">
        <v>1905</v>
      </c>
      <c r="M212" s="408" t="s">
        <v>1895</v>
      </c>
      <c r="N212" s="273"/>
      <c r="O212" s="385" t="s">
        <v>6</v>
      </c>
      <c r="P212" s="385" t="s">
        <v>3293</v>
      </c>
      <c r="Q212" s="365"/>
      <c r="R212" s="365"/>
      <c r="S212" s="365"/>
      <c r="T212" s="365"/>
      <c r="U212" s="365"/>
      <c r="V212" s="365"/>
    </row>
    <row r="213" spans="1:22" ht="195.75" hidden="1" x14ac:dyDescent="0.25">
      <c r="A213" s="365"/>
      <c r="B213" s="365"/>
      <c r="C213" s="273"/>
      <c r="D213" s="392">
        <f>VLOOKUP(Tabla132[[#This Row],[Código INDRA]],Tabla13[[Código Indra]:[ID2]],24,FALSE)</f>
        <v>419</v>
      </c>
      <c r="E213" s="273"/>
      <c r="F213" s="393">
        <v>45597</v>
      </c>
      <c r="G213" s="273" t="s">
        <v>19</v>
      </c>
      <c r="H213" s="275" t="s">
        <v>20</v>
      </c>
      <c r="I213" s="273" t="s">
        <v>3290</v>
      </c>
      <c r="J213" s="273" t="str">
        <f>VLOOKUP(Tabla132[[#This Row],[Código INDRA]],Tabla13[[Código Indra]:[ID2]],8,FALSE)</f>
        <v>adalvarezm</v>
      </c>
      <c r="K213" s="273" t="s">
        <v>1436</v>
      </c>
      <c r="L213" s="275" t="s">
        <v>1906</v>
      </c>
      <c r="M213" s="409" t="s">
        <v>1907</v>
      </c>
      <c r="N213" s="328"/>
      <c r="O213" s="328"/>
      <c r="P213" s="328"/>
      <c r="Q213" s="365"/>
      <c r="R213" s="365"/>
      <c r="S213" s="365"/>
      <c r="T213" s="365"/>
      <c r="U213" s="365"/>
      <c r="V213" s="365"/>
    </row>
    <row r="214" spans="1:22" ht="174" hidden="1" x14ac:dyDescent="0.25">
      <c r="A214" s="365"/>
      <c r="B214" s="365"/>
      <c r="C214" s="273"/>
      <c r="D214" s="392">
        <f>VLOOKUP(Tabla132[[#This Row],[Código INDRA]],Tabla13[[Código Indra]:[ID2]],24,FALSE)</f>
        <v>419</v>
      </c>
      <c r="E214" s="394"/>
      <c r="F214" s="393">
        <v>45597</v>
      </c>
      <c r="G214" s="273" t="s">
        <v>19</v>
      </c>
      <c r="H214" s="275" t="s">
        <v>20</v>
      </c>
      <c r="I214" s="273" t="s">
        <v>3298</v>
      </c>
      <c r="J214" s="273" t="str">
        <f>VLOOKUP(Tabla132[[#This Row],[Código INDRA]],Tabla13[[Código Indra]:[ID2]],8,FALSE)</f>
        <v>adalvarezm</v>
      </c>
      <c r="K214" s="273" t="s">
        <v>1436</v>
      </c>
      <c r="L214" s="275" t="s">
        <v>1908</v>
      </c>
      <c r="M214" s="409" t="s">
        <v>1895</v>
      </c>
      <c r="N214" s="273"/>
      <c r="O214" s="385" t="s">
        <v>6</v>
      </c>
      <c r="P214" s="385" t="s">
        <v>3293</v>
      </c>
      <c r="Q214" s="365"/>
      <c r="R214" s="365"/>
      <c r="S214" s="365"/>
      <c r="T214" s="365"/>
      <c r="U214" s="365"/>
      <c r="V214" s="365"/>
    </row>
    <row r="215" spans="1:22" ht="43.5" x14ac:dyDescent="0.25">
      <c r="A215" s="365"/>
      <c r="B215" s="365"/>
      <c r="C215" s="273"/>
      <c r="D215" s="392">
        <f>VLOOKUP(Tabla132[[#This Row],[Código INDRA]],Tabla13[[Código Indra]:[ID2]],24,FALSE)</f>
        <v>420</v>
      </c>
      <c r="E215" s="273"/>
      <c r="F215" s="393">
        <v>45698</v>
      </c>
      <c r="G215" s="273" t="s">
        <v>197</v>
      </c>
      <c r="H215" s="275" t="s">
        <v>198</v>
      </c>
      <c r="I215" s="273"/>
      <c r="J215" s="273" t="str">
        <f>VLOOKUP(Tabla132[[#This Row],[Código INDRA]],Tabla13[[Código Indra]:[ID2]],8,FALSE)</f>
        <v>hcano</v>
      </c>
      <c r="K215" s="273"/>
      <c r="L215" s="275" t="s">
        <v>1874</v>
      </c>
      <c r="M215" s="409" t="s">
        <v>1909</v>
      </c>
      <c r="N215" s="328"/>
      <c r="O215" s="328"/>
      <c r="P215" s="328"/>
      <c r="Q215" s="365"/>
      <c r="R215" s="365"/>
      <c r="S215" s="365"/>
      <c r="T215" s="365"/>
      <c r="U215" s="365"/>
      <c r="V215" s="365"/>
    </row>
    <row r="216" spans="1:22" ht="43.5" x14ac:dyDescent="0.25">
      <c r="A216" s="365"/>
      <c r="B216" s="365"/>
      <c r="C216" s="273"/>
      <c r="D216" s="392">
        <f>VLOOKUP(Tabla132[[#This Row],[Código INDRA]],Tabla13[[Código Indra]:[ID2]],24,FALSE)</f>
        <v>421</v>
      </c>
      <c r="E216" s="394"/>
      <c r="F216" s="393">
        <v>45698</v>
      </c>
      <c r="G216" s="273" t="s">
        <v>199</v>
      </c>
      <c r="H216" s="275" t="s">
        <v>200</v>
      </c>
      <c r="I216" s="273"/>
      <c r="J216" s="273" t="str">
        <f>VLOOKUP(Tabla132[[#This Row],[Código INDRA]],Tabla13[[Código Indra]:[ID2]],8,FALSE)</f>
        <v>aalmandoz</v>
      </c>
      <c r="K216" s="273"/>
      <c r="L216" s="275" t="s">
        <v>1874</v>
      </c>
      <c r="M216" s="409" t="s">
        <v>1909</v>
      </c>
      <c r="N216" s="273"/>
      <c r="O216" s="385"/>
      <c r="P216" s="385"/>
      <c r="Q216" s="365"/>
      <c r="R216" s="365"/>
      <c r="S216" s="365"/>
      <c r="T216" s="365"/>
      <c r="U216" s="365"/>
      <c r="V216" s="365"/>
    </row>
    <row r="217" spans="1:22" ht="43.5" x14ac:dyDescent="0.25">
      <c r="A217" s="365"/>
      <c r="B217" s="365"/>
      <c r="C217" s="273"/>
      <c r="D217" s="392">
        <f>VLOOKUP(Tabla132[[#This Row],[Código INDRA]],Tabla13[[Código Indra]:[ID2]],24,FALSE)</f>
        <v>428</v>
      </c>
      <c r="E217" s="273"/>
      <c r="F217" s="393">
        <v>45698</v>
      </c>
      <c r="G217" s="273" t="s">
        <v>201</v>
      </c>
      <c r="H217" s="275" t="s">
        <v>202</v>
      </c>
      <c r="I217" s="273"/>
      <c r="J217" s="273" t="str">
        <f>VLOOKUP(Tabla132[[#This Row],[Código INDRA]],Tabla13[[Código Indra]:[ID2]],8,FALSE)</f>
        <v>aalmandoz</v>
      </c>
      <c r="K217" s="273"/>
      <c r="L217" s="275" t="s">
        <v>1874</v>
      </c>
      <c r="M217" s="409" t="s">
        <v>1909</v>
      </c>
      <c r="N217" s="328"/>
      <c r="O217" s="328" t="s">
        <v>6</v>
      </c>
      <c r="P217" s="328" t="s">
        <v>1451</v>
      </c>
      <c r="Q217" s="365"/>
      <c r="R217" s="365"/>
      <c r="S217" s="365"/>
      <c r="T217" s="365"/>
      <c r="U217" s="365"/>
      <c r="V217" s="365"/>
    </row>
    <row r="218" spans="1:22" ht="43.5" x14ac:dyDescent="0.25">
      <c r="A218" s="365"/>
      <c r="B218" s="365"/>
      <c r="C218" s="273"/>
      <c r="D218" s="392">
        <f>VLOOKUP(Tabla132[[#This Row],[Código INDRA]],Tabla13[[Código Indra]:[ID2]],24,FALSE)</f>
        <v>431</v>
      </c>
      <c r="E218" s="394"/>
      <c r="F218" s="393">
        <v>45698</v>
      </c>
      <c r="G218" s="273" t="s">
        <v>203</v>
      </c>
      <c r="H218" s="275" t="s">
        <v>204</v>
      </c>
      <c r="I218" s="273"/>
      <c r="J218" s="273" t="str">
        <f>VLOOKUP(Tabla132[[#This Row],[Código INDRA]],Tabla13[[Código Indra]:[ID2]],8,FALSE)</f>
        <v>aalmandoz</v>
      </c>
      <c r="K218" s="273"/>
      <c r="L218" s="275" t="s">
        <v>1874</v>
      </c>
      <c r="M218" s="409" t="s">
        <v>1909</v>
      </c>
      <c r="N218" s="273"/>
      <c r="O218" s="385"/>
      <c r="P218" s="385"/>
      <c r="Q218" s="365"/>
      <c r="R218" s="365"/>
      <c r="S218" s="365"/>
      <c r="T218" s="365"/>
      <c r="U218" s="365"/>
      <c r="V218" s="365"/>
    </row>
    <row r="219" spans="1:22" ht="43.5" x14ac:dyDescent="0.25">
      <c r="A219" s="365"/>
      <c r="B219" s="365"/>
      <c r="C219" s="273"/>
      <c r="D219" s="392">
        <f>VLOOKUP(Tabla132[[#This Row],[Código INDRA]],Tabla13[[Código Indra]:[ID2]],24,FALSE)</f>
        <v>431</v>
      </c>
      <c r="E219" s="273"/>
      <c r="F219" s="393">
        <v>45726</v>
      </c>
      <c r="G219" s="273" t="s">
        <v>203</v>
      </c>
      <c r="H219" s="275" t="s">
        <v>204</v>
      </c>
      <c r="I219" s="273" t="s">
        <v>3320</v>
      </c>
      <c r="J219" s="273" t="str">
        <f>VLOOKUP(Tabla132[[#This Row],[Código INDRA]],Tabla13[[Código Indra]:[ID2]],8,FALSE)</f>
        <v>aalmandoz</v>
      </c>
      <c r="K219" s="273"/>
      <c r="L219" s="275" t="s">
        <v>3340</v>
      </c>
      <c r="M219" s="409" t="s">
        <v>1909</v>
      </c>
      <c r="N219" s="328"/>
      <c r="O219" s="328"/>
      <c r="P219" s="328"/>
      <c r="Q219" s="365"/>
      <c r="R219" s="365"/>
      <c r="S219" s="365"/>
      <c r="T219" s="365"/>
      <c r="U219" s="365"/>
      <c r="V219" s="365"/>
    </row>
    <row r="220" spans="1:22" ht="43.5" x14ac:dyDescent="0.25">
      <c r="A220" s="365"/>
      <c r="B220" s="365"/>
      <c r="C220" s="273"/>
      <c r="D220" s="392">
        <f>VLOOKUP(Tabla132[[#This Row],[Código INDRA]],Tabla13[[Código Indra]:[ID2]],24,FALSE)</f>
        <v>446</v>
      </c>
      <c r="E220" s="394"/>
      <c r="F220" s="393">
        <v>45698</v>
      </c>
      <c r="G220" s="273" t="s">
        <v>205</v>
      </c>
      <c r="H220" s="275" t="s">
        <v>206</v>
      </c>
      <c r="I220" s="273"/>
      <c r="J220" s="273" t="str">
        <f>VLOOKUP(Tabla132[[#This Row],[Código INDRA]],Tabla13[[Código Indra]:[ID2]],8,FALSE)</f>
        <v>aalmandoz</v>
      </c>
      <c r="K220" s="273"/>
      <c r="L220" s="275" t="s">
        <v>1874</v>
      </c>
      <c r="M220" s="409" t="s">
        <v>1909</v>
      </c>
      <c r="N220" s="273"/>
      <c r="O220" s="385"/>
      <c r="P220" s="385"/>
      <c r="Q220" s="365"/>
      <c r="R220" s="365"/>
      <c r="S220" s="365"/>
      <c r="T220" s="365"/>
      <c r="U220" s="365"/>
      <c r="V220" s="365"/>
    </row>
    <row r="221" spans="1:22" ht="43.5" x14ac:dyDescent="0.25">
      <c r="A221" s="365"/>
      <c r="B221" s="365"/>
      <c r="C221" s="273"/>
      <c r="D221" s="392">
        <f>VLOOKUP(Tabla132[[#This Row],[Código INDRA]],Tabla13[[Código Indra]:[ID2]],24,FALSE)</f>
        <v>448</v>
      </c>
      <c r="E221" s="394"/>
      <c r="F221" s="393"/>
      <c r="G221" s="273" t="s">
        <v>207</v>
      </c>
      <c r="H221" s="275" t="s">
        <v>208</v>
      </c>
      <c r="I221" s="273"/>
      <c r="J221" s="273" t="str">
        <f>VLOOKUP(Tabla132[[#This Row],[Código INDRA]],Tabla13[[Código Indra]:[ID2]],8,FALSE)</f>
        <v>aalmandoz</v>
      </c>
      <c r="K221" s="273"/>
      <c r="L221" s="275" t="s">
        <v>3326</v>
      </c>
      <c r="M221" s="409" t="s">
        <v>1909</v>
      </c>
      <c r="N221" s="273"/>
      <c r="O221" s="385"/>
      <c r="P221" s="385"/>
      <c r="Q221" s="365"/>
      <c r="R221" s="365"/>
      <c r="S221" s="365"/>
      <c r="T221" s="365"/>
      <c r="U221" s="365"/>
      <c r="V221" s="365"/>
    </row>
    <row r="222" spans="1:22" ht="43.5" x14ac:dyDescent="0.25">
      <c r="A222" s="365"/>
      <c r="B222" s="365"/>
      <c r="C222" s="273"/>
      <c r="D222" s="392">
        <f>VLOOKUP(Tabla132[[#This Row],[Código INDRA]],Tabla13[[Código Indra]:[ID2]],24,FALSE)</f>
        <v>449</v>
      </c>
      <c r="E222" s="273"/>
      <c r="F222" s="393"/>
      <c r="G222" s="273" t="s">
        <v>1446</v>
      </c>
      <c r="H222" s="275" t="s">
        <v>210</v>
      </c>
      <c r="I222" s="273"/>
      <c r="J222" s="273" t="str">
        <f>VLOOKUP(Tabla132[[#This Row],[Código INDRA]],Tabla13[[Código Indra]:[ID2]],8,FALSE)</f>
        <v>aalmandoz</v>
      </c>
      <c r="K222" s="273"/>
      <c r="L222" s="275" t="s">
        <v>3326</v>
      </c>
      <c r="M222" s="409" t="s">
        <v>1909</v>
      </c>
      <c r="N222" s="328"/>
      <c r="O222" s="328"/>
      <c r="P222" s="328"/>
      <c r="Q222" s="365"/>
      <c r="R222" s="365"/>
      <c r="S222" s="365"/>
      <c r="T222" s="365"/>
      <c r="U222" s="365"/>
      <c r="V222" s="365"/>
    </row>
    <row r="223" spans="1:22" ht="152.25" hidden="1" x14ac:dyDescent="0.25">
      <c r="A223" s="365"/>
      <c r="B223" s="365"/>
      <c r="C223" s="273"/>
      <c r="D223" s="392">
        <f>VLOOKUP(Tabla132[[#This Row],[Código INDRA]],Tabla13[[Código Indra]:[ID2]],24,FALSE)</f>
        <v>454</v>
      </c>
      <c r="E223" s="394"/>
      <c r="F223" s="393">
        <v>45698</v>
      </c>
      <c r="G223" s="273" t="s">
        <v>158</v>
      </c>
      <c r="H223" s="275" t="s">
        <v>159</v>
      </c>
      <c r="I223" s="273"/>
      <c r="J223" s="273" t="str">
        <f>VLOOKUP(Tabla132[[#This Row],[Código INDRA]],Tabla13[[Código Indra]:[ID2]],8,FALSE)</f>
        <v>funtaru</v>
      </c>
      <c r="K223" s="273" t="s">
        <v>1436</v>
      </c>
      <c r="L223" s="275" t="s">
        <v>1874</v>
      </c>
      <c r="M223" s="413" t="s">
        <v>1912</v>
      </c>
      <c r="N223" s="273"/>
      <c r="O223" s="385"/>
      <c r="P223" s="385"/>
      <c r="Q223" s="365"/>
      <c r="R223" s="365"/>
      <c r="S223" s="365"/>
      <c r="T223" s="365"/>
      <c r="U223" s="365"/>
      <c r="V223" s="365"/>
    </row>
    <row r="224" spans="1:22" ht="152.25" hidden="1" x14ac:dyDescent="0.25">
      <c r="A224" s="365"/>
      <c r="B224" s="365"/>
      <c r="C224" s="273"/>
      <c r="D224" s="392">
        <f>VLOOKUP(Tabla132[[#This Row],[Código INDRA]],Tabla13[[Código Indra]:[ID2]],24,FALSE)</f>
        <v>455</v>
      </c>
      <c r="E224" s="273"/>
      <c r="F224" s="393">
        <v>45698</v>
      </c>
      <c r="G224" s="273" t="s">
        <v>160</v>
      </c>
      <c r="H224" s="275" t="s">
        <v>161</v>
      </c>
      <c r="I224" s="273"/>
      <c r="J224" s="273" t="str">
        <f>VLOOKUP(Tabla132[[#This Row],[Código INDRA]],Tabla13[[Código Indra]:[ID2]],8,FALSE)</f>
        <v>funtaru</v>
      </c>
      <c r="K224" s="273" t="s">
        <v>1436</v>
      </c>
      <c r="L224" s="275" t="s">
        <v>1874</v>
      </c>
      <c r="M224" s="413" t="s">
        <v>1912</v>
      </c>
      <c r="N224" s="328"/>
      <c r="O224" s="328"/>
      <c r="P224" s="328"/>
      <c r="Q224" s="365"/>
      <c r="R224" s="365"/>
      <c r="S224" s="365"/>
      <c r="T224" s="365"/>
      <c r="U224" s="365"/>
      <c r="V224" s="365"/>
    </row>
    <row r="225" spans="1:22" ht="152.25" hidden="1" x14ac:dyDescent="0.25">
      <c r="A225" s="365"/>
      <c r="B225" s="365"/>
      <c r="C225" s="273"/>
      <c r="D225" s="392">
        <f>VLOOKUP(Tabla132[[#This Row],[Código INDRA]],Tabla13[[Código Indra]:[ID2]],24,FALSE)</f>
        <v>464</v>
      </c>
      <c r="E225" s="394"/>
      <c r="F225" s="393">
        <v>45698</v>
      </c>
      <c r="G225" s="273" t="s">
        <v>91</v>
      </c>
      <c r="H225" s="275" t="s">
        <v>92</v>
      </c>
      <c r="I225" s="273"/>
      <c r="J225" s="273" t="str">
        <f>VLOOKUP(Tabla132[[#This Row],[Código INDRA]],Tabla13[[Código Indra]:[ID2]],8,FALSE)</f>
        <v>funtaru</v>
      </c>
      <c r="K225" s="273" t="s">
        <v>1436</v>
      </c>
      <c r="L225" s="275" t="s">
        <v>1874</v>
      </c>
      <c r="M225" s="413" t="s">
        <v>1913</v>
      </c>
      <c r="N225" s="273"/>
      <c r="O225" s="385"/>
      <c r="P225" s="385"/>
      <c r="Q225" s="365"/>
      <c r="R225" s="365"/>
      <c r="S225" s="365"/>
      <c r="T225" s="365"/>
      <c r="U225" s="365"/>
      <c r="V225" s="365"/>
    </row>
    <row r="226" spans="1:22" ht="43.5" hidden="1" x14ac:dyDescent="0.25">
      <c r="A226" s="365"/>
      <c r="B226" s="365"/>
      <c r="C226" s="273"/>
      <c r="D226" s="392">
        <f>VLOOKUP(Tabla132[[#This Row],[Código INDRA]],Tabla13[[Código Indra]:[ID2]],24,FALSE)</f>
        <v>473</v>
      </c>
      <c r="E226" s="273"/>
      <c r="F226" s="393">
        <v>45698</v>
      </c>
      <c r="G226" s="273" t="s">
        <v>93</v>
      </c>
      <c r="H226" s="275" t="s">
        <v>94</v>
      </c>
      <c r="I226" s="273"/>
      <c r="J226" s="273" t="str">
        <f>VLOOKUP(Tabla132[[#This Row],[Código INDRA]],Tabla13[[Código Indra]:[ID2]],8,FALSE)</f>
        <v>funtaru</v>
      </c>
      <c r="K226" s="273" t="s">
        <v>1436</v>
      </c>
      <c r="L226" s="275" t="s">
        <v>1874</v>
      </c>
      <c r="M226" s="273" t="s">
        <v>1582</v>
      </c>
      <c r="N226" s="328"/>
      <c r="O226" s="328"/>
      <c r="P226" s="328"/>
      <c r="Q226" s="365"/>
      <c r="R226" s="365"/>
      <c r="S226" s="365"/>
      <c r="T226" s="365"/>
      <c r="U226" s="365"/>
      <c r="V226" s="365"/>
    </row>
    <row r="227" spans="1:22" ht="152.25" hidden="1" x14ac:dyDescent="0.25">
      <c r="A227" s="365"/>
      <c r="B227" s="365"/>
      <c r="C227" s="273"/>
      <c r="D227" s="392">
        <f>VLOOKUP(Tabla132[[#This Row],[Código INDRA]],Tabla13[[Código Indra]:[ID2]],24,FALSE)</f>
        <v>473</v>
      </c>
      <c r="E227" s="394"/>
      <c r="F227" s="393">
        <v>45698</v>
      </c>
      <c r="G227" s="273" t="s">
        <v>93</v>
      </c>
      <c r="H227" s="275" t="s">
        <v>94</v>
      </c>
      <c r="I227" s="273"/>
      <c r="J227" s="273" t="str">
        <f>VLOOKUP(Tabla132[[#This Row],[Código INDRA]],Tabla13[[Código Indra]:[ID2]],8,FALSE)</f>
        <v>funtaru</v>
      </c>
      <c r="K227" s="273" t="s">
        <v>1436</v>
      </c>
      <c r="L227" s="275" t="s">
        <v>1874</v>
      </c>
      <c r="M227" s="413" t="s">
        <v>1913</v>
      </c>
      <c r="N227" s="273"/>
      <c r="O227" s="385"/>
      <c r="P227" s="385"/>
      <c r="Q227" s="365"/>
      <c r="R227" s="365"/>
      <c r="S227" s="365"/>
      <c r="T227" s="365"/>
      <c r="U227" s="365"/>
      <c r="V227" s="365"/>
    </row>
    <row r="228" spans="1:22" ht="65.25" hidden="1" x14ac:dyDescent="0.25">
      <c r="A228" s="365"/>
      <c r="B228" s="365"/>
      <c r="C228" s="273">
        <v>161</v>
      </c>
      <c r="D228" s="392">
        <f>VLOOKUP(Tabla132[[#This Row],[Código INDRA]],Tabla13[[Código Indra]:[ID2]],24,FALSE)</f>
        <v>475</v>
      </c>
      <c r="E228" s="273"/>
      <c r="F228" s="393">
        <v>45630</v>
      </c>
      <c r="G228" s="273" t="s">
        <v>865</v>
      </c>
      <c r="H228" s="275" t="s">
        <v>866</v>
      </c>
      <c r="I228" s="273"/>
      <c r="J228" s="273" t="str">
        <f>VLOOKUP(Tabla132[[#This Row],[Código INDRA]],Tabla13[[Código Indra]:[ID2]],8,FALSE)</f>
        <v>funtaru</v>
      </c>
      <c r="K228" s="273" t="s">
        <v>1436</v>
      </c>
      <c r="L228" s="275" t="s">
        <v>1914</v>
      </c>
      <c r="M228" s="409" t="s">
        <v>1915</v>
      </c>
      <c r="N228" s="328"/>
      <c r="O228" s="328" t="s">
        <v>6</v>
      </c>
      <c r="P228" s="328" t="s">
        <v>1451</v>
      </c>
      <c r="Q228" s="365"/>
      <c r="R228" s="365"/>
      <c r="S228" s="365"/>
      <c r="T228" s="365"/>
      <c r="U228" s="365"/>
      <c r="V228" s="365"/>
    </row>
    <row r="229" spans="1:22" ht="65.25" hidden="1" x14ac:dyDescent="0.25">
      <c r="A229" s="365"/>
      <c r="B229" s="365"/>
      <c r="C229" s="273">
        <v>162</v>
      </c>
      <c r="D229" s="392">
        <f>VLOOKUP(Tabla132[[#This Row],[Código INDRA]],Tabla13[[Código Indra]:[ID2]],24,FALSE)</f>
        <v>476</v>
      </c>
      <c r="E229" s="394"/>
      <c r="F229" s="393">
        <v>45630</v>
      </c>
      <c r="G229" s="273" t="s">
        <v>869</v>
      </c>
      <c r="H229" s="275" t="s">
        <v>870</v>
      </c>
      <c r="I229" s="273"/>
      <c r="J229" s="273" t="str">
        <f>VLOOKUP(Tabla132[[#This Row],[Código INDRA]],Tabla13[[Código Indra]:[ID2]],8,FALSE)</f>
        <v>funtaru</v>
      </c>
      <c r="K229" s="273" t="s">
        <v>1436</v>
      </c>
      <c r="L229" s="275" t="s">
        <v>1916</v>
      </c>
      <c r="M229" s="409" t="s">
        <v>1915</v>
      </c>
      <c r="N229" s="273"/>
      <c r="O229" s="385" t="s">
        <v>6</v>
      </c>
      <c r="P229" s="385" t="s">
        <v>1451</v>
      </c>
      <c r="Q229" s="365"/>
      <c r="R229" s="365"/>
      <c r="S229" s="365"/>
      <c r="T229" s="365"/>
      <c r="U229" s="365"/>
      <c r="V229" s="365"/>
    </row>
    <row r="230" spans="1:22" ht="65.25" hidden="1" x14ac:dyDescent="0.25">
      <c r="A230" s="365"/>
      <c r="B230" s="365"/>
      <c r="C230" s="273"/>
      <c r="D230" s="392">
        <f>VLOOKUP(Tabla132[[#This Row],[Código INDRA]],Tabla13[[Código Indra]:[ID2]],24,FALSE)</f>
        <v>482</v>
      </c>
      <c r="E230" s="273"/>
      <c r="F230" s="393">
        <v>45698</v>
      </c>
      <c r="G230" s="273" t="s">
        <v>152</v>
      </c>
      <c r="H230" s="275" t="s">
        <v>153</v>
      </c>
      <c r="I230" s="273"/>
      <c r="J230" s="273" t="str">
        <f>VLOOKUP(Tabla132[[#This Row],[Código INDRA]],Tabla13[[Código Indra]:[ID2]],8,FALSE)</f>
        <v>adalvarezm</v>
      </c>
      <c r="K230" s="273" t="s">
        <v>1436</v>
      </c>
      <c r="L230" s="275" t="s">
        <v>1874</v>
      </c>
      <c r="M230" s="409" t="s">
        <v>1917</v>
      </c>
      <c r="N230" s="328"/>
      <c r="O230" s="328"/>
      <c r="P230" s="328"/>
      <c r="Q230" s="365"/>
      <c r="R230" s="365"/>
      <c r="S230" s="365"/>
      <c r="T230" s="365"/>
      <c r="U230" s="365"/>
      <c r="V230" s="365"/>
    </row>
    <row r="231" spans="1:22" ht="152.25" hidden="1" x14ac:dyDescent="0.25">
      <c r="A231" s="365"/>
      <c r="B231" s="365"/>
      <c r="C231" s="273"/>
      <c r="D231" s="392">
        <f>VLOOKUP(Tabla132[[#This Row],[Código INDRA]],Tabla13[[Código Indra]:[ID2]],24,FALSE)</f>
        <v>487</v>
      </c>
      <c r="E231" s="394"/>
      <c r="F231" s="393">
        <v>45698</v>
      </c>
      <c r="G231" s="273" t="s">
        <v>636</v>
      </c>
      <c r="H231" s="275" t="s">
        <v>83</v>
      </c>
      <c r="I231" s="273"/>
      <c r="J231" s="273" t="str">
        <f>VLOOKUP(Tabla132[[#This Row],[Código INDRA]],Tabla13[[Código Indra]:[ID2]],8,FALSE)</f>
        <v>mgomez</v>
      </c>
      <c r="K231" s="273" t="s">
        <v>1436</v>
      </c>
      <c r="L231" s="275" t="s">
        <v>1920</v>
      </c>
      <c r="M231" s="409" t="s">
        <v>1919</v>
      </c>
      <c r="N231" s="273"/>
      <c r="O231" s="385"/>
      <c r="P231" s="385"/>
      <c r="Q231" s="365"/>
      <c r="R231" s="365"/>
      <c r="S231" s="365"/>
      <c r="T231" s="365"/>
      <c r="U231" s="365"/>
      <c r="V231" s="365"/>
    </row>
    <row r="232" spans="1:22" ht="65.25" hidden="1" x14ac:dyDescent="0.25">
      <c r="A232" s="365"/>
      <c r="B232" s="365"/>
      <c r="C232" s="273"/>
      <c r="D232" s="392">
        <f>VLOOKUP(Tabla132[[#This Row],[Código INDRA]],Tabla13[[Código Indra]:[ID2]],24,FALSE)</f>
        <v>488</v>
      </c>
      <c r="E232" s="273"/>
      <c r="F232" s="393">
        <v>45698</v>
      </c>
      <c r="G232" s="273" t="s">
        <v>1086</v>
      </c>
      <c r="H232" s="275" t="s">
        <v>1087</v>
      </c>
      <c r="I232" s="273"/>
      <c r="J232" s="273" t="str">
        <f>VLOOKUP(Tabla132[[#This Row],[Código INDRA]],Tabla13[[Código Indra]:[ID2]],8,FALSE)</f>
        <v>mgomez</v>
      </c>
      <c r="K232" s="273" t="s">
        <v>1436</v>
      </c>
      <c r="L232" s="275" t="s">
        <v>1921</v>
      </c>
      <c r="M232" s="409" t="s">
        <v>1922</v>
      </c>
      <c r="N232" s="328"/>
      <c r="O232" s="328"/>
      <c r="P232" s="328"/>
      <c r="Q232" s="365"/>
      <c r="R232" s="365"/>
      <c r="S232" s="365"/>
      <c r="T232" s="365"/>
      <c r="U232" s="365"/>
      <c r="V232" s="365"/>
    </row>
    <row r="233" spans="1:22" ht="65.25" hidden="1" x14ac:dyDescent="0.25">
      <c r="A233" s="365"/>
      <c r="B233" s="365"/>
      <c r="C233" s="273"/>
      <c r="D233" s="392">
        <f>VLOOKUP(Tabla132[[#This Row],[Código INDRA]],Tabla13[[Código Indra]:[ID2]],24,FALSE)</f>
        <v>489</v>
      </c>
      <c r="E233" s="394"/>
      <c r="F233" s="393">
        <v>45698</v>
      </c>
      <c r="G233" s="273" t="s">
        <v>1090</v>
      </c>
      <c r="H233" s="275" t="s">
        <v>1091</v>
      </c>
      <c r="I233" s="273"/>
      <c r="J233" s="273" t="str">
        <f>VLOOKUP(Tabla132[[#This Row],[Código INDRA]],Tabla13[[Código Indra]:[ID2]],8,FALSE)</f>
        <v>mgomez</v>
      </c>
      <c r="K233" s="273" t="s">
        <v>1436</v>
      </c>
      <c r="L233" s="275" t="s">
        <v>1921</v>
      </c>
      <c r="M233" s="409" t="s">
        <v>1922</v>
      </c>
      <c r="N233" s="273"/>
      <c r="O233" s="385"/>
      <c r="P233" s="385"/>
      <c r="Q233" s="365"/>
      <c r="R233" s="365"/>
      <c r="S233" s="365"/>
      <c r="T233" s="365"/>
      <c r="U233" s="365"/>
      <c r="V233" s="365"/>
    </row>
    <row r="234" spans="1:22" ht="65.25" hidden="1" x14ac:dyDescent="0.25">
      <c r="A234" s="365"/>
      <c r="B234" s="365"/>
      <c r="C234" s="273"/>
      <c r="D234" s="392">
        <f>VLOOKUP(Tabla132[[#This Row],[Código INDRA]],Tabla13[[Código Indra]:[ID2]],24,FALSE)</f>
        <v>490</v>
      </c>
      <c r="E234" s="273"/>
      <c r="F234" s="393">
        <v>45698</v>
      </c>
      <c r="G234" s="273" t="s">
        <v>1094</v>
      </c>
      <c r="H234" s="275" t="s">
        <v>1095</v>
      </c>
      <c r="I234" s="273"/>
      <c r="J234" s="273" t="str">
        <f>VLOOKUP(Tabla132[[#This Row],[Código INDRA]],Tabla13[[Código Indra]:[ID2]],8,FALSE)</f>
        <v>mgomez</v>
      </c>
      <c r="K234" s="273" t="s">
        <v>1436</v>
      </c>
      <c r="L234" s="275" t="s">
        <v>1921</v>
      </c>
      <c r="M234" s="409" t="s">
        <v>1922</v>
      </c>
      <c r="N234" s="328"/>
      <c r="O234" s="328"/>
      <c r="P234" s="328"/>
      <c r="Q234" s="365"/>
      <c r="R234" s="365"/>
      <c r="S234" s="365"/>
      <c r="T234" s="365"/>
      <c r="U234" s="365"/>
      <c r="V234" s="365"/>
    </row>
    <row r="235" spans="1:22" ht="65.25" hidden="1" x14ac:dyDescent="0.25">
      <c r="A235" s="365"/>
      <c r="B235" s="365"/>
      <c r="C235" s="273"/>
      <c r="D235" s="392">
        <f>VLOOKUP(Tabla132[[#This Row],[Código INDRA]],Tabla13[[Código Indra]:[ID2]],24,FALSE)</f>
        <v>491</v>
      </c>
      <c r="E235" s="394"/>
      <c r="F235" s="393">
        <v>45698</v>
      </c>
      <c r="G235" s="273" t="s">
        <v>1098</v>
      </c>
      <c r="H235" s="275" t="s">
        <v>1099</v>
      </c>
      <c r="I235" s="273"/>
      <c r="J235" s="273" t="str">
        <f>VLOOKUP(Tabla132[[#This Row],[Código INDRA]],Tabla13[[Código Indra]:[ID2]],8,FALSE)</f>
        <v>mgomez</v>
      </c>
      <c r="K235" s="273" t="s">
        <v>1436</v>
      </c>
      <c r="L235" s="275" t="s">
        <v>1921</v>
      </c>
      <c r="M235" s="409" t="s">
        <v>1922</v>
      </c>
      <c r="N235" s="273"/>
      <c r="O235" s="385"/>
      <c r="P235" s="385"/>
      <c r="Q235" s="365"/>
      <c r="R235" s="365"/>
      <c r="S235" s="365"/>
      <c r="T235" s="365"/>
      <c r="U235" s="365"/>
      <c r="V235" s="365"/>
    </row>
    <row r="236" spans="1:22" ht="65.25" hidden="1" x14ac:dyDescent="0.25">
      <c r="A236" s="365"/>
      <c r="B236" s="365"/>
      <c r="C236" s="273"/>
      <c r="D236" s="392">
        <f>VLOOKUP(Tabla132[[#This Row],[Código INDRA]],Tabla13[[Código Indra]:[ID2]],24,FALSE)</f>
        <v>492</v>
      </c>
      <c r="E236" s="273"/>
      <c r="F236" s="393">
        <v>45698</v>
      </c>
      <c r="G236" s="273" t="s">
        <v>1102</v>
      </c>
      <c r="H236" s="275" t="s">
        <v>1103</v>
      </c>
      <c r="I236" s="273"/>
      <c r="J236" s="273" t="str">
        <f>VLOOKUP(Tabla132[[#This Row],[Código INDRA]],Tabla13[[Código Indra]:[ID2]],8,FALSE)</f>
        <v>mgomez</v>
      </c>
      <c r="K236" s="273" t="s">
        <v>1436</v>
      </c>
      <c r="L236" s="275" t="s">
        <v>1921</v>
      </c>
      <c r="M236" s="409" t="s">
        <v>1922</v>
      </c>
      <c r="N236" s="328"/>
      <c r="O236" s="328"/>
      <c r="P236" s="328"/>
      <c r="Q236" s="365"/>
      <c r="R236" s="365"/>
      <c r="S236" s="365"/>
      <c r="T236" s="365"/>
      <c r="U236" s="365"/>
      <c r="V236" s="365"/>
    </row>
    <row r="237" spans="1:22" ht="65.25" hidden="1" x14ac:dyDescent="0.25">
      <c r="A237" s="365"/>
      <c r="B237" s="365"/>
      <c r="C237" s="273"/>
      <c r="D237" s="392">
        <f>VLOOKUP(Tabla132[[#This Row],[Código INDRA]],Tabla13[[Código Indra]:[ID2]],24,FALSE)</f>
        <v>493</v>
      </c>
      <c r="E237" s="394"/>
      <c r="F237" s="393">
        <v>45698</v>
      </c>
      <c r="G237" s="273" t="s">
        <v>1107</v>
      </c>
      <c r="H237" s="275" t="s">
        <v>1108</v>
      </c>
      <c r="I237" s="273"/>
      <c r="J237" s="273" t="str">
        <f>VLOOKUP(Tabla132[[#This Row],[Código INDRA]],Tabla13[[Código Indra]:[ID2]],8,FALSE)</f>
        <v>mgomez</v>
      </c>
      <c r="K237" s="273" t="s">
        <v>1436</v>
      </c>
      <c r="L237" s="275" t="s">
        <v>1921</v>
      </c>
      <c r="M237" s="409" t="s">
        <v>1922</v>
      </c>
      <c r="N237" s="273"/>
      <c r="O237" s="385"/>
      <c r="P237" s="385"/>
      <c r="Q237" s="365"/>
      <c r="R237" s="365"/>
      <c r="S237" s="365"/>
      <c r="T237" s="365"/>
      <c r="U237" s="365"/>
      <c r="V237" s="365"/>
    </row>
    <row r="238" spans="1:22" ht="65.25" hidden="1" x14ac:dyDescent="0.25">
      <c r="A238" s="365"/>
      <c r="B238" s="365"/>
      <c r="C238" s="273"/>
      <c r="D238" s="392">
        <f>VLOOKUP(Tabla132[[#This Row],[Código INDRA]],Tabla13[[Código Indra]:[ID2]],24,FALSE)</f>
        <v>494</v>
      </c>
      <c r="E238" s="273"/>
      <c r="F238" s="393">
        <v>45698</v>
      </c>
      <c r="G238" s="273" t="s">
        <v>1112</v>
      </c>
      <c r="H238" s="275" t="s">
        <v>1113</v>
      </c>
      <c r="I238" s="273"/>
      <c r="J238" s="273" t="str">
        <f>VLOOKUP(Tabla132[[#This Row],[Código INDRA]],Tabla13[[Código Indra]:[ID2]],8,FALSE)</f>
        <v>mgomez</v>
      </c>
      <c r="K238" s="273" t="s">
        <v>1436</v>
      </c>
      <c r="L238" s="275" t="s">
        <v>1921</v>
      </c>
      <c r="M238" s="409" t="s">
        <v>1922</v>
      </c>
      <c r="N238" s="328"/>
      <c r="O238" s="328"/>
      <c r="P238" s="328"/>
      <c r="Q238" s="365"/>
      <c r="R238" s="365"/>
      <c r="S238" s="365"/>
      <c r="T238" s="365"/>
      <c r="U238" s="365"/>
      <c r="V238" s="365"/>
    </row>
    <row r="239" spans="1:22" ht="65.25" hidden="1" x14ac:dyDescent="0.25">
      <c r="A239" s="365"/>
      <c r="B239" s="365"/>
      <c r="C239" s="273"/>
      <c r="D239" s="392">
        <f>VLOOKUP(Tabla132[[#This Row],[Código INDRA]],Tabla13[[Código Indra]:[ID2]],24,FALSE)</f>
        <v>495</v>
      </c>
      <c r="E239" s="394"/>
      <c r="F239" s="393">
        <v>45698</v>
      </c>
      <c r="G239" s="273" t="s">
        <v>1116</v>
      </c>
      <c r="H239" s="275" t="s">
        <v>1117</v>
      </c>
      <c r="I239" s="273"/>
      <c r="J239" s="273" t="str">
        <f>VLOOKUP(Tabla132[[#This Row],[Código INDRA]],Tabla13[[Código Indra]:[ID2]],8,FALSE)</f>
        <v>mgomez</v>
      </c>
      <c r="K239" s="273" t="s">
        <v>1436</v>
      </c>
      <c r="L239" s="275" t="s">
        <v>1921</v>
      </c>
      <c r="M239" s="409" t="s">
        <v>1922</v>
      </c>
      <c r="N239" s="273"/>
      <c r="O239" s="385"/>
      <c r="P239" s="385"/>
      <c r="Q239" s="365"/>
      <c r="R239" s="365"/>
      <c r="S239" s="365"/>
      <c r="T239" s="365"/>
      <c r="U239" s="365"/>
      <c r="V239" s="365"/>
    </row>
    <row r="240" spans="1:22" ht="130.5" hidden="1" x14ac:dyDescent="0.25">
      <c r="A240" s="365"/>
      <c r="B240" s="365"/>
      <c r="C240" s="273">
        <v>163</v>
      </c>
      <c r="D240" s="392">
        <f>VLOOKUP(Tabla132[[#This Row],[Código INDRA]],Tabla13[[Código Indra]:[ID2]],24,FALSE)</f>
        <v>496</v>
      </c>
      <c r="E240" s="273"/>
      <c r="F240" s="393">
        <v>45635</v>
      </c>
      <c r="G240" s="273" t="s">
        <v>1137</v>
      </c>
      <c r="H240" s="275" t="s">
        <v>1138</v>
      </c>
      <c r="I240" s="273" t="s">
        <v>3303</v>
      </c>
      <c r="J240" s="273" t="str">
        <f>VLOOKUP(Tabla132[[#This Row],[Código INDRA]],Tabla13[[Código Indra]:[ID2]],8,FALSE)</f>
        <v>mgomez</v>
      </c>
      <c r="K240" s="273" t="s">
        <v>1436</v>
      </c>
      <c r="L240" s="275" t="s">
        <v>1923</v>
      </c>
      <c r="M240" s="409" t="s">
        <v>1924</v>
      </c>
      <c r="N240" s="328"/>
      <c r="O240" s="328"/>
      <c r="P240" s="328"/>
      <c r="Q240" s="365"/>
      <c r="R240" s="365"/>
      <c r="S240" s="365"/>
      <c r="T240" s="365"/>
      <c r="U240" s="365"/>
      <c r="V240" s="365"/>
    </row>
    <row r="241" spans="1:22" ht="108.75" hidden="1" x14ac:dyDescent="0.25">
      <c r="A241" s="365"/>
      <c r="B241" s="365"/>
      <c r="C241" s="273">
        <v>164</v>
      </c>
      <c r="D241" s="392">
        <f>VLOOKUP(Tabla132[[#This Row],[Código INDRA]],Tabla13[[Código Indra]:[ID2]],24,FALSE)</f>
        <v>498</v>
      </c>
      <c r="E241" s="394"/>
      <c r="F241" s="393">
        <v>45635</v>
      </c>
      <c r="G241" s="273" t="s">
        <v>1140</v>
      </c>
      <c r="H241" s="275" t="s">
        <v>1141</v>
      </c>
      <c r="I241" s="273" t="s">
        <v>3303</v>
      </c>
      <c r="J241" s="273" t="str">
        <f>VLOOKUP(Tabla132[[#This Row],[Código INDRA]],Tabla13[[Código Indra]:[ID2]],8,FALSE)</f>
        <v>mgomez</v>
      </c>
      <c r="K241" s="273" t="s">
        <v>1436</v>
      </c>
      <c r="L241" s="275" t="s">
        <v>1925</v>
      </c>
      <c r="M241" s="409" t="s">
        <v>1924</v>
      </c>
      <c r="N241" s="273"/>
      <c r="O241" s="385"/>
      <c r="P241" s="385"/>
      <c r="Q241" s="365"/>
      <c r="R241" s="365"/>
      <c r="S241" s="365"/>
      <c r="T241" s="365"/>
      <c r="U241" s="365"/>
      <c r="V241" s="365"/>
    </row>
    <row r="242" spans="1:22" ht="152.25" hidden="1" x14ac:dyDescent="0.25">
      <c r="A242" s="365"/>
      <c r="B242" s="365"/>
      <c r="C242" s="273">
        <v>165</v>
      </c>
      <c r="D242" s="392">
        <f>VLOOKUP(Tabla132[[#This Row],[Código INDRA]],Tabla13[[Código Indra]:[ID2]],24,FALSE)</f>
        <v>500</v>
      </c>
      <c r="E242" s="273"/>
      <c r="F242" s="393">
        <v>45635</v>
      </c>
      <c r="G242" s="273" t="s">
        <v>1143</v>
      </c>
      <c r="H242" s="275" t="s">
        <v>1144</v>
      </c>
      <c r="I242" s="273" t="s">
        <v>3303</v>
      </c>
      <c r="J242" s="273" t="str">
        <f>VLOOKUP(Tabla132[[#This Row],[Código INDRA]],Tabla13[[Código Indra]:[ID2]],8,FALSE)</f>
        <v>mgomez</v>
      </c>
      <c r="K242" s="273" t="s">
        <v>1436</v>
      </c>
      <c r="L242" s="275" t="s">
        <v>1926</v>
      </c>
      <c r="M242" s="409" t="s">
        <v>1927</v>
      </c>
      <c r="N242" s="328"/>
      <c r="O242" s="328"/>
      <c r="P242" s="328"/>
      <c r="Q242" s="365"/>
      <c r="R242" s="365"/>
      <c r="S242" s="365"/>
      <c r="T242" s="365"/>
      <c r="U242" s="365"/>
      <c r="V242" s="365"/>
    </row>
    <row r="243" spans="1:22" ht="152.25" hidden="1" x14ac:dyDescent="0.25">
      <c r="A243" s="365"/>
      <c r="B243" s="365"/>
      <c r="C243" s="273">
        <v>166</v>
      </c>
      <c r="D243" s="392">
        <f>VLOOKUP(Tabla132[[#This Row],[Código INDRA]],Tabla13[[Código Indra]:[ID2]],24,FALSE)</f>
        <v>501</v>
      </c>
      <c r="E243" s="394"/>
      <c r="F243" s="393">
        <v>45635</v>
      </c>
      <c r="G243" s="273" t="s">
        <v>1146</v>
      </c>
      <c r="H243" s="275" t="s">
        <v>1147</v>
      </c>
      <c r="I243" s="273" t="s">
        <v>3303</v>
      </c>
      <c r="J243" s="273" t="str">
        <f>VLOOKUP(Tabla132[[#This Row],[Código INDRA]],Tabla13[[Código Indra]:[ID2]],8,FALSE)</f>
        <v>mgomez</v>
      </c>
      <c r="K243" s="273" t="s">
        <v>1436</v>
      </c>
      <c r="L243" s="275" t="s">
        <v>1928</v>
      </c>
      <c r="M243" s="409" t="s">
        <v>1927</v>
      </c>
      <c r="N243" s="273"/>
      <c r="O243" s="385" t="s">
        <v>6</v>
      </c>
      <c r="P243" s="385" t="s">
        <v>1451</v>
      </c>
      <c r="Q243" s="365"/>
      <c r="R243" s="365"/>
      <c r="S243" s="365"/>
      <c r="T243" s="365"/>
      <c r="U243" s="365"/>
      <c r="V243" s="365"/>
    </row>
    <row r="244" spans="1:22" ht="152.25" hidden="1" x14ac:dyDescent="0.25">
      <c r="A244" s="365"/>
      <c r="B244" s="365"/>
      <c r="C244" s="273">
        <v>167</v>
      </c>
      <c r="D244" s="392">
        <f>VLOOKUP(Tabla132[[#This Row],[Código INDRA]],Tabla13[[Código Indra]:[ID2]],24,FALSE)</f>
        <v>502</v>
      </c>
      <c r="E244" s="273"/>
      <c r="F244" s="393">
        <v>45635</v>
      </c>
      <c r="G244" s="273" t="s">
        <v>1149</v>
      </c>
      <c r="H244" s="275" t="s">
        <v>1150</v>
      </c>
      <c r="I244" s="273" t="s">
        <v>3303</v>
      </c>
      <c r="J244" s="273" t="str">
        <f>VLOOKUP(Tabla132[[#This Row],[Código INDRA]],Tabla13[[Código Indra]:[ID2]],8,FALSE)</f>
        <v>mgomez</v>
      </c>
      <c r="K244" s="273" t="s">
        <v>1436</v>
      </c>
      <c r="L244" s="275" t="s">
        <v>1926</v>
      </c>
      <c r="M244" s="409" t="s">
        <v>1927</v>
      </c>
      <c r="N244" s="328"/>
      <c r="O244" s="328"/>
      <c r="P244" s="328"/>
      <c r="Q244" s="365"/>
      <c r="R244" s="365"/>
      <c r="S244" s="365"/>
      <c r="T244" s="365"/>
      <c r="U244" s="365"/>
      <c r="V244" s="365"/>
    </row>
    <row r="245" spans="1:22" ht="43.5" hidden="1" x14ac:dyDescent="0.25">
      <c r="A245" s="365"/>
      <c r="B245" s="365"/>
      <c r="C245" s="273">
        <v>168</v>
      </c>
      <c r="D245" s="392">
        <f>VLOOKUP(Tabla132[[#This Row],[Código INDRA]],Tabla13[[Código Indra]:[ID2]],24,FALSE)</f>
        <v>503</v>
      </c>
      <c r="E245" s="394"/>
      <c r="F245" s="393">
        <v>45635</v>
      </c>
      <c r="G245" s="273" t="s">
        <v>1152</v>
      </c>
      <c r="H245" s="275" t="s">
        <v>1153</v>
      </c>
      <c r="I245" s="273" t="s">
        <v>3303</v>
      </c>
      <c r="J245" s="273" t="str">
        <f>VLOOKUP(Tabla132[[#This Row],[Código INDRA]],Tabla13[[Código Indra]:[ID2]],8,FALSE)</f>
        <v>mgomez</v>
      </c>
      <c r="K245" s="273" t="s">
        <v>1436</v>
      </c>
      <c r="L245" s="275" t="s">
        <v>1930</v>
      </c>
      <c r="M245" s="328" t="s">
        <v>1929</v>
      </c>
      <c r="N245" s="273"/>
      <c r="O245" s="385"/>
      <c r="P245" s="385"/>
      <c r="Q245" s="365"/>
      <c r="R245" s="365"/>
      <c r="S245" s="365"/>
      <c r="T245" s="365"/>
      <c r="U245" s="365"/>
      <c r="V245" s="365"/>
    </row>
    <row r="246" spans="1:22" ht="108.75" x14ac:dyDescent="0.25">
      <c r="A246" s="365"/>
      <c r="B246" s="365"/>
      <c r="C246" s="273"/>
      <c r="D246" s="392">
        <f>VLOOKUP(Tabla132[[#This Row],[Código INDRA]],Tabla13[[Código Indra]:[ID2]],24,FALSE)</f>
        <v>503</v>
      </c>
      <c r="E246" s="273"/>
      <c r="F246" s="393">
        <v>45701</v>
      </c>
      <c r="G246" s="273" t="s">
        <v>1152</v>
      </c>
      <c r="H246" s="275" t="s">
        <v>1153</v>
      </c>
      <c r="I246" s="273" t="s">
        <v>3303</v>
      </c>
      <c r="J246" s="273" t="str">
        <f>VLOOKUP(Tabla132[[#This Row],[Código INDRA]],Tabla13[[Código Indra]:[ID2]],8,FALSE)</f>
        <v>mgomez</v>
      </c>
      <c r="K246" s="273"/>
      <c r="L246" s="275" t="s">
        <v>1925</v>
      </c>
      <c r="M246" s="273"/>
      <c r="N246" s="328"/>
      <c r="O246" s="328"/>
      <c r="P246" s="328"/>
      <c r="Q246" s="365"/>
      <c r="R246" s="365"/>
      <c r="S246" s="365"/>
      <c r="T246" s="365"/>
      <c r="U246" s="365"/>
      <c r="V246" s="365"/>
    </row>
    <row r="247" spans="1:22" ht="130.5" x14ac:dyDescent="0.25">
      <c r="A247" s="365"/>
      <c r="B247" s="365"/>
      <c r="C247" s="273">
        <v>170</v>
      </c>
      <c r="D247" s="392">
        <f>VLOOKUP(Tabla132[[#This Row],[Código INDRA]],Tabla13[[Código Indra]:[ID2]],24,FALSE)</f>
        <v>504</v>
      </c>
      <c r="E247" s="394"/>
      <c r="F247" s="393">
        <v>45635</v>
      </c>
      <c r="G247" s="273" t="s">
        <v>1156</v>
      </c>
      <c r="H247" s="275" t="s">
        <v>1157</v>
      </c>
      <c r="I247" s="273" t="s">
        <v>3303</v>
      </c>
      <c r="J247" s="273" t="str">
        <f>VLOOKUP(Tabla132[[#This Row],[Código INDRA]],Tabla13[[Código Indra]:[ID2]],8,FALSE)</f>
        <v>mgomez</v>
      </c>
      <c r="K247" s="273"/>
      <c r="L247" s="275" t="s">
        <v>1926</v>
      </c>
      <c r="M247" s="328"/>
      <c r="N247" s="273"/>
      <c r="O247" s="385"/>
      <c r="P247" s="385"/>
      <c r="Q247" s="365"/>
      <c r="R247" s="365"/>
      <c r="S247" s="365"/>
      <c r="T247" s="365"/>
      <c r="U247" s="365"/>
      <c r="V247" s="365"/>
    </row>
    <row r="248" spans="1:22" ht="43.5" hidden="1" x14ac:dyDescent="0.25">
      <c r="A248" s="365"/>
      <c r="B248" s="365"/>
      <c r="C248" s="273">
        <v>171</v>
      </c>
      <c r="D248" s="392">
        <f>VLOOKUP(Tabla132[[#This Row],[Código INDRA]],Tabla13[[Código Indra]:[ID2]],24,FALSE)</f>
        <v>505</v>
      </c>
      <c r="E248" s="273"/>
      <c r="F248" s="393">
        <v>45635</v>
      </c>
      <c r="G248" s="273" t="s">
        <v>1159</v>
      </c>
      <c r="H248" s="275" t="s">
        <v>1160</v>
      </c>
      <c r="I248" s="273" t="s">
        <v>3290</v>
      </c>
      <c r="J248" s="273" t="str">
        <f>VLOOKUP(Tabla132[[#This Row],[Código INDRA]],Tabla13[[Código Indra]:[ID2]],8,FALSE)</f>
        <v>mgomez</v>
      </c>
      <c r="K248" s="273" t="s">
        <v>1436</v>
      </c>
      <c r="L248" s="275" t="s">
        <v>1930</v>
      </c>
      <c r="M248" s="273" t="s">
        <v>1929</v>
      </c>
      <c r="N248" s="328"/>
      <c r="O248" s="328"/>
      <c r="P248" s="328"/>
      <c r="Q248" s="365"/>
      <c r="R248" s="365"/>
      <c r="S248" s="365"/>
      <c r="T248" s="365"/>
      <c r="U248" s="365"/>
      <c r="V248" s="365"/>
    </row>
    <row r="249" spans="1:22" ht="108.75" x14ac:dyDescent="0.25">
      <c r="A249" s="365"/>
      <c r="B249" s="365"/>
      <c r="C249" s="273">
        <v>172</v>
      </c>
      <c r="D249" s="392">
        <f>VLOOKUP(Tabla132[[#This Row],[Código INDRA]],Tabla13[[Código Indra]:[ID2]],24,FALSE)</f>
        <v>505</v>
      </c>
      <c r="E249" s="394"/>
      <c r="F249" s="393">
        <v>45701</v>
      </c>
      <c r="G249" s="273" t="s">
        <v>1159</v>
      </c>
      <c r="H249" s="275" t="s">
        <v>1160</v>
      </c>
      <c r="I249" s="273" t="s">
        <v>3303</v>
      </c>
      <c r="J249" s="273" t="str">
        <f>VLOOKUP(Tabla132[[#This Row],[Código INDRA]],Tabla13[[Código Indra]:[ID2]],8,FALSE)</f>
        <v>mgomez</v>
      </c>
      <c r="K249" s="273"/>
      <c r="L249" s="275" t="s">
        <v>1925</v>
      </c>
      <c r="M249" s="273"/>
      <c r="N249" s="273"/>
      <c r="O249" s="385"/>
      <c r="P249" s="385"/>
      <c r="Q249" s="365"/>
      <c r="R249" s="365"/>
      <c r="S249" s="365"/>
      <c r="T249" s="365"/>
      <c r="U249" s="365"/>
      <c r="V249" s="365"/>
    </row>
    <row r="250" spans="1:22" ht="43.5" hidden="1" x14ac:dyDescent="0.25">
      <c r="A250" s="365"/>
      <c r="B250" s="365"/>
      <c r="C250" s="273">
        <v>173</v>
      </c>
      <c r="D250" s="392">
        <f>VLOOKUP(Tabla132[[#This Row],[Código INDRA]],Tabla13[[Código Indra]:[ID2]],24,FALSE)</f>
        <v>506</v>
      </c>
      <c r="E250" s="273"/>
      <c r="F250" s="393">
        <v>45635</v>
      </c>
      <c r="G250" s="273" t="s">
        <v>1162</v>
      </c>
      <c r="H250" s="275" t="s">
        <v>1163</v>
      </c>
      <c r="I250" s="273" t="s">
        <v>3290</v>
      </c>
      <c r="J250" s="273" t="str">
        <f>VLOOKUP(Tabla132[[#This Row],[Código INDRA]],Tabla13[[Código Indra]:[ID2]],8,FALSE)</f>
        <v>mgomez</v>
      </c>
      <c r="K250" s="273" t="s">
        <v>1436</v>
      </c>
      <c r="L250" s="275" t="s">
        <v>1932</v>
      </c>
      <c r="M250" s="273" t="s">
        <v>1931</v>
      </c>
      <c r="N250" s="328"/>
      <c r="O250" s="328"/>
      <c r="P250" s="328"/>
      <c r="Q250" s="365"/>
      <c r="R250" s="365"/>
      <c r="S250" s="365"/>
      <c r="T250" s="365"/>
      <c r="U250" s="365"/>
      <c r="V250" s="365"/>
    </row>
    <row r="251" spans="1:22" ht="108.75" x14ac:dyDescent="0.25">
      <c r="A251" s="365"/>
      <c r="B251" s="365"/>
      <c r="C251" s="273">
        <v>174</v>
      </c>
      <c r="D251" s="392">
        <f>VLOOKUP(Tabla132[[#This Row],[Código INDRA]],Tabla13[[Código Indra]:[ID2]],24,FALSE)</f>
        <v>506</v>
      </c>
      <c r="E251" s="394"/>
      <c r="F251" s="393">
        <v>45701</v>
      </c>
      <c r="G251" s="273" t="s">
        <v>1162</v>
      </c>
      <c r="H251" s="275" t="s">
        <v>1163</v>
      </c>
      <c r="I251" s="273" t="s">
        <v>3303</v>
      </c>
      <c r="J251" s="273" t="str">
        <f>VLOOKUP(Tabla132[[#This Row],[Código INDRA]],Tabla13[[Código Indra]:[ID2]],8,FALSE)</f>
        <v>mgomez</v>
      </c>
      <c r="K251" s="273"/>
      <c r="L251" s="275" t="s">
        <v>1925</v>
      </c>
      <c r="M251" s="328"/>
      <c r="N251" s="273"/>
      <c r="O251" s="385"/>
      <c r="P251" s="385"/>
      <c r="Q251" s="365"/>
      <c r="R251" s="365"/>
      <c r="S251" s="365"/>
      <c r="T251" s="365"/>
      <c r="U251" s="365"/>
      <c r="V251" s="365"/>
    </row>
    <row r="252" spans="1:22" ht="43.5" hidden="1" x14ac:dyDescent="0.25">
      <c r="A252" s="365"/>
      <c r="B252" s="365"/>
      <c r="C252" s="273">
        <v>175</v>
      </c>
      <c r="D252" s="392">
        <f>VLOOKUP(Tabla132[[#This Row],[Código INDRA]],Tabla13[[Código Indra]:[ID2]],24,FALSE)</f>
        <v>507</v>
      </c>
      <c r="E252" s="273"/>
      <c r="F252" s="393">
        <v>45635</v>
      </c>
      <c r="G252" s="273" t="s">
        <v>1165</v>
      </c>
      <c r="H252" s="275" t="s">
        <v>1166</v>
      </c>
      <c r="I252" s="273" t="s">
        <v>3290</v>
      </c>
      <c r="J252" s="273" t="str">
        <f>VLOOKUP(Tabla132[[#This Row],[Código INDRA]],Tabla13[[Código Indra]:[ID2]],8,FALSE)</f>
        <v>mgomez</v>
      </c>
      <c r="K252" s="273" t="s">
        <v>1436</v>
      </c>
      <c r="L252" s="275" t="s">
        <v>1935</v>
      </c>
      <c r="M252" s="273" t="s">
        <v>1934</v>
      </c>
      <c r="N252" s="328"/>
      <c r="O252" s="328"/>
      <c r="P252" s="328"/>
      <c r="Q252" s="365"/>
      <c r="R252" s="365"/>
      <c r="S252" s="365"/>
      <c r="T252" s="365"/>
      <c r="U252" s="365"/>
      <c r="V252" s="365"/>
    </row>
    <row r="253" spans="1:22" ht="87" x14ac:dyDescent="0.25">
      <c r="A253" s="365"/>
      <c r="B253" s="365"/>
      <c r="C253" s="273"/>
      <c r="D253" s="392">
        <f>VLOOKUP(Tabla132[[#This Row],[Código INDRA]],Tabla13[[Código Indra]:[ID2]],24,FALSE)</f>
        <v>507</v>
      </c>
      <c r="E253" s="394"/>
      <c r="F253" s="393"/>
      <c r="G253" s="273" t="s">
        <v>1165</v>
      </c>
      <c r="H253" s="275" t="s">
        <v>1166</v>
      </c>
      <c r="I253" s="273"/>
      <c r="J253" s="273" t="str">
        <f>VLOOKUP(Tabla132[[#This Row],[Código INDRA]],Tabla13[[Código Indra]:[ID2]],8,FALSE)</f>
        <v>mgomez</v>
      </c>
      <c r="K253" s="273"/>
      <c r="L253" s="275" t="s">
        <v>1933</v>
      </c>
      <c r="M253" s="328"/>
      <c r="N253" s="273"/>
      <c r="O253" s="385"/>
      <c r="P253" s="385"/>
      <c r="Q253" s="365"/>
      <c r="R253" s="365"/>
      <c r="S253" s="365"/>
      <c r="T253" s="365"/>
      <c r="U253" s="365"/>
      <c r="V253" s="365"/>
    </row>
    <row r="254" spans="1:22" ht="43.5" hidden="1" x14ac:dyDescent="0.25">
      <c r="A254" s="365"/>
      <c r="B254" s="365"/>
      <c r="C254" s="273">
        <v>176</v>
      </c>
      <c r="D254" s="392">
        <f>VLOOKUP(Tabla132[[#This Row],[Código INDRA]],Tabla13[[Código Indra]:[ID2]],24,FALSE)</f>
        <v>508</v>
      </c>
      <c r="E254" s="273"/>
      <c r="F254" s="393">
        <v>45635</v>
      </c>
      <c r="G254" s="273" t="s">
        <v>1168</v>
      </c>
      <c r="H254" s="275" t="s">
        <v>1169</v>
      </c>
      <c r="I254" s="273" t="s">
        <v>3290</v>
      </c>
      <c r="J254" s="273" t="str">
        <f>VLOOKUP(Tabla132[[#This Row],[Código INDRA]],Tabla13[[Código Indra]:[ID2]],8,FALSE)</f>
        <v>mgomez</v>
      </c>
      <c r="K254" s="273" t="s">
        <v>1436</v>
      </c>
      <c r="L254" s="275"/>
      <c r="M254" s="273" t="s">
        <v>1936</v>
      </c>
      <c r="N254" s="328"/>
      <c r="O254" s="328"/>
      <c r="P254" s="328"/>
      <c r="Q254" s="365"/>
      <c r="R254" s="365"/>
      <c r="S254" s="365"/>
      <c r="T254" s="365"/>
      <c r="U254" s="365"/>
      <c r="V254" s="365"/>
    </row>
    <row r="255" spans="1:22" ht="43.5" hidden="1" x14ac:dyDescent="0.25">
      <c r="A255" s="365"/>
      <c r="B255" s="365"/>
      <c r="C255" s="273">
        <v>177</v>
      </c>
      <c r="D255" s="392">
        <f>VLOOKUP(Tabla132[[#This Row],[Código INDRA]],Tabla13[[Código Indra]:[ID2]],24,FALSE)</f>
        <v>509</v>
      </c>
      <c r="E255" s="394"/>
      <c r="F255" s="393">
        <v>45635</v>
      </c>
      <c r="G255" s="273" t="s">
        <v>1172</v>
      </c>
      <c r="H255" s="275" t="s">
        <v>1173</v>
      </c>
      <c r="I255" s="273" t="s">
        <v>3290</v>
      </c>
      <c r="J255" s="273" t="str">
        <f>VLOOKUP(Tabla132[[#This Row],[Código INDRA]],Tabla13[[Código Indra]:[ID2]],8,FALSE)</f>
        <v>mgomez</v>
      </c>
      <c r="K255" s="273" t="s">
        <v>1436</v>
      </c>
      <c r="L255" s="275"/>
      <c r="M255" s="328" t="s">
        <v>1936</v>
      </c>
      <c r="N255" s="273"/>
      <c r="O255" s="385"/>
      <c r="P255" s="385"/>
      <c r="Q255" s="365"/>
      <c r="R255" s="365"/>
      <c r="S255" s="365"/>
      <c r="T255" s="365"/>
      <c r="U255" s="365"/>
      <c r="V255" s="365"/>
    </row>
    <row r="256" spans="1:22" ht="43.5" hidden="1" x14ac:dyDescent="0.25">
      <c r="A256" s="365"/>
      <c r="B256" s="365"/>
      <c r="C256" s="273">
        <v>178</v>
      </c>
      <c r="D256" s="392">
        <f>VLOOKUP(Tabla132[[#This Row],[Código INDRA]],Tabla13[[Código Indra]:[ID2]],24,FALSE)</f>
        <v>510</v>
      </c>
      <c r="E256" s="273"/>
      <c r="F256" s="393">
        <v>45635</v>
      </c>
      <c r="G256" s="273" t="s">
        <v>1175</v>
      </c>
      <c r="H256" s="275" t="s">
        <v>1176</v>
      </c>
      <c r="I256" s="273" t="s">
        <v>3290</v>
      </c>
      <c r="J256" s="273" t="str">
        <f>VLOOKUP(Tabla132[[#This Row],[Código INDRA]],Tabla13[[Código Indra]:[ID2]],8,FALSE)</f>
        <v>mgomez</v>
      </c>
      <c r="K256" s="273" t="s">
        <v>1436</v>
      </c>
      <c r="L256" s="275"/>
      <c r="M256" s="273" t="s">
        <v>1936</v>
      </c>
      <c r="N256" s="328"/>
      <c r="O256" s="328"/>
      <c r="P256" s="328"/>
      <c r="Q256" s="365"/>
      <c r="R256" s="365"/>
      <c r="S256" s="365"/>
      <c r="T256" s="365"/>
      <c r="U256" s="365"/>
      <c r="V256" s="365"/>
    </row>
    <row r="257" spans="1:22" ht="43.5" hidden="1" x14ac:dyDescent="0.25">
      <c r="A257" s="365"/>
      <c r="B257" s="365"/>
      <c r="C257" s="273">
        <v>179</v>
      </c>
      <c r="D257" s="392">
        <f>VLOOKUP(Tabla132[[#This Row],[Código INDRA]],Tabla13[[Código Indra]:[ID2]],24,FALSE)</f>
        <v>511</v>
      </c>
      <c r="E257" s="394"/>
      <c r="F257" s="393">
        <v>45635</v>
      </c>
      <c r="G257" s="273" t="s">
        <v>1178</v>
      </c>
      <c r="H257" s="275" t="s">
        <v>1179</v>
      </c>
      <c r="I257" s="273" t="s">
        <v>3290</v>
      </c>
      <c r="J257" s="273" t="str">
        <f>VLOOKUP(Tabla132[[#This Row],[Código INDRA]],Tabla13[[Código Indra]:[ID2]],8,FALSE)</f>
        <v>mgomez</v>
      </c>
      <c r="K257" s="273" t="s">
        <v>1436</v>
      </c>
      <c r="L257" s="275"/>
      <c r="M257" s="328" t="s">
        <v>1936</v>
      </c>
      <c r="N257" s="273"/>
      <c r="O257" s="385"/>
      <c r="P257" s="385"/>
      <c r="Q257" s="365"/>
      <c r="R257" s="365"/>
      <c r="S257" s="365"/>
      <c r="T257" s="365"/>
      <c r="U257" s="365"/>
      <c r="V257" s="365"/>
    </row>
    <row r="258" spans="1:22" ht="43.5" hidden="1" x14ac:dyDescent="0.25">
      <c r="A258" s="365"/>
      <c r="B258" s="365"/>
      <c r="C258" s="273">
        <v>180</v>
      </c>
      <c r="D258" s="392">
        <f>VLOOKUP(Tabla132[[#This Row],[Código INDRA]],Tabla13[[Código Indra]:[ID2]],24,FALSE)</f>
        <v>512</v>
      </c>
      <c r="E258" s="273"/>
      <c r="F258" s="393">
        <v>45635</v>
      </c>
      <c r="G258" s="273" t="s">
        <v>1181</v>
      </c>
      <c r="H258" s="275" t="s">
        <v>1182</v>
      </c>
      <c r="I258" s="273" t="s">
        <v>3290</v>
      </c>
      <c r="J258" s="273" t="str">
        <f>VLOOKUP(Tabla132[[#This Row],[Código INDRA]],Tabla13[[Código Indra]:[ID2]],8,FALSE)</f>
        <v>mgomez</v>
      </c>
      <c r="K258" s="273" t="s">
        <v>1436</v>
      </c>
      <c r="L258" s="275"/>
      <c r="M258" s="273" t="s">
        <v>1937</v>
      </c>
      <c r="N258" s="328"/>
      <c r="O258" s="328"/>
      <c r="P258" s="328"/>
      <c r="Q258" s="365"/>
      <c r="R258" s="365"/>
      <c r="S258" s="365"/>
      <c r="T258" s="365"/>
      <c r="U258" s="365"/>
      <c r="V258" s="365"/>
    </row>
    <row r="259" spans="1:22" ht="21.75" hidden="1" x14ac:dyDescent="0.25">
      <c r="A259" s="365"/>
      <c r="B259" s="365"/>
      <c r="C259" s="273">
        <v>181</v>
      </c>
      <c r="D259" s="392">
        <f>VLOOKUP(Tabla132[[#This Row],[Código INDRA]],Tabla13[[Código Indra]:[ID2]],24,FALSE)</f>
        <v>513</v>
      </c>
      <c r="E259" s="394"/>
      <c r="F259" s="393">
        <v>45635</v>
      </c>
      <c r="G259" s="273" t="s">
        <v>1185</v>
      </c>
      <c r="H259" s="275" t="s">
        <v>1186</v>
      </c>
      <c r="I259" s="273" t="s">
        <v>3290</v>
      </c>
      <c r="J259" s="273" t="str">
        <f>VLOOKUP(Tabla132[[#This Row],[Código INDRA]],Tabla13[[Código Indra]:[ID2]],8,FALSE)</f>
        <v>mgomez</v>
      </c>
      <c r="K259" s="273" t="s">
        <v>1436</v>
      </c>
      <c r="L259" s="275" t="s">
        <v>1938</v>
      </c>
      <c r="M259" s="328" t="s">
        <v>1939</v>
      </c>
      <c r="N259" s="273"/>
      <c r="O259" s="385"/>
      <c r="P259" s="385"/>
      <c r="Q259" s="365"/>
      <c r="R259" s="365"/>
      <c r="S259" s="365"/>
      <c r="T259" s="365"/>
      <c r="U259" s="365"/>
      <c r="V259" s="365"/>
    </row>
    <row r="260" spans="1:22" ht="21.75" hidden="1" x14ac:dyDescent="0.25">
      <c r="A260" s="365"/>
      <c r="B260" s="365"/>
      <c r="C260" s="273">
        <v>182</v>
      </c>
      <c r="D260" s="392">
        <f>VLOOKUP(Tabla132[[#This Row],[Código INDRA]],Tabla13[[Código Indra]:[ID2]],24,FALSE)</f>
        <v>513</v>
      </c>
      <c r="E260" s="273"/>
      <c r="F260" s="393">
        <v>45635</v>
      </c>
      <c r="G260" s="273" t="s">
        <v>1185</v>
      </c>
      <c r="H260" s="275" t="s">
        <v>1186</v>
      </c>
      <c r="I260" s="273" t="s">
        <v>3300</v>
      </c>
      <c r="J260" s="273" t="str">
        <f>VLOOKUP(Tabla132[[#This Row],[Código INDRA]],Tabla13[[Código Indra]:[ID2]],8,FALSE)</f>
        <v>mgomez</v>
      </c>
      <c r="K260" s="273" t="s">
        <v>1436</v>
      </c>
      <c r="L260" s="275" t="s">
        <v>1938</v>
      </c>
      <c r="M260" s="273" t="s">
        <v>1939</v>
      </c>
      <c r="N260" s="328"/>
      <c r="O260" s="328"/>
      <c r="P260" s="328"/>
      <c r="Q260" s="365"/>
      <c r="R260" s="365"/>
      <c r="S260" s="365"/>
      <c r="T260" s="365"/>
      <c r="U260" s="365"/>
      <c r="V260" s="365"/>
    </row>
    <row r="261" spans="1:22" ht="43.5" hidden="1" x14ac:dyDescent="0.25">
      <c r="A261" s="365"/>
      <c r="B261" s="365"/>
      <c r="C261" s="273">
        <v>183</v>
      </c>
      <c r="D261" s="392">
        <f>VLOOKUP(Tabla132[[#This Row],[Código INDRA]],Tabla13[[Código Indra]:[ID2]],24,FALSE)</f>
        <v>514</v>
      </c>
      <c r="E261" s="394"/>
      <c r="F261" s="393">
        <v>45635</v>
      </c>
      <c r="G261" s="273" t="s">
        <v>1188</v>
      </c>
      <c r="H261" s="275" t="s">
        <v>1189</v>
      </c>
      <c r="I261" s="273" t="s">
        <v>3290</v>
      </c>
      <c r="J261" s="273" t="str">
        <f>VLOOKUP(Tabla132[[#This Row],[Código INDRA]],Tabla13[[Código Indra]:[ID2]],8,FALSE)</f>
        <v>mgomez</v>
      </c>
      <c r="K261" s="273" t="s">
        <v>1436</v>
      </c>
      <c r="L261" s="275"/>
      <c r="M261" s="328" t="s">
        <v>1936</v>
      </c>
      <c r="N261" s="273"/>
      <c r="O261" s="385"/>
      <c r="P261" s="385"/>
      <c r="Q261" s="365"/>
      <c r="R261" s="365"/>
      <c r="S261" s="365"/>
      <c r="T261" s="365"/>
      <c r="U261" s="365"/>
      <c r="V261" s="365"/>
    </row>
    <row r="262" spans="1:22" ht="43.5" hidden="1" x14ac:dyDescent="0.25">
      <c r="A262" s="365"/>
      <c r="B262" s="365"/>
      <c r="C262" s="273">
        <v>184</v>
      </c>
      <c r="D262" s="392">
        <f>VLOOKUP(Tabla132[[#This Row],[Código INDRA]],Tabla13[[Código Indra]:[ID2]],24,FALSE)</f>
        <v>515</v>
      </c>
      <c r="E262" s="273"/>
      <c r="F262" s="393">
        <v>45635</v>
      </c>
      <c r="G262" s="273" t="s">
        <v>1191</v>
      </c>
      <c r="H262" s="275" t="s">
        <v>1192</v>
      </c>
      <c r="I262" s="273" t="s">
        <v>3290</v>
      </c>
      <c r="J262" s="273" t="str">
        <f>VLOOKUP(Tabla132[[#This Row],[Código INDRA]],Tabla13[[Código Indra]:[ID2]],8,FALSE)</f>
        <v>mgomez</v>
      </c>
      <c r="K262" s="273" t="s">
        <v>1436</v>
      </c>
      <c r="L262" s="275"/>
      <c r="M262" s="273" t="s">
        <v>1936</v>
      </c>
      <c r="N262" s="328"/>
      <c r="O262" s="328"/>
      <c r="P262" s="328"/>
      <c r="Q262" s="365"/>
      <c r="R262" s="365"/>
      <c r="S262" s="365"/>
      <c r="T262" s="365"/>
      <c r="U262" s="365"/>
      <c r="V262" s="365"/>
    </row>
    <row r="263" spans="1:22" ht="43.5" hidden="1" x14ac:dyDescent="0.25">
      <c r="A263" s="365"/>
      <c r="B263" s="365"/>
      <c r="C263" s="273">
        <v>185</v>
      </c>
      <c r="D263" s="392">
        <f>VLOOKUP(Tabla132[[#This Row],[Código INDRA]],Tabla13[[Código Indra]:[ID2]],24,FALSE)</f>
        <v>516</v>
      </c>
      <c r="E263" s="394"/>
      <c r="F263" s="393">
        <v>45635</v>
      </c>
      <c r="G263" s="273" t="s">
        <v>1194</v>
      </c>
      <c r="H263" s="275" t="s">
        <v>1195</v>
      </c>
      <c r="I263" s="273" t="s">
        <v>3290</v>
      </c>
      <c r="J263" s="273" t="str">
        <f>VLOOKUP(Tabla132[[#This Row],[Código INDRA]],Tabla13[[Código Indra]:[ID2]],8,FALSE)</f>
        <v>mgomez</v>
      </c>
      <c r="K263" s="273" t="s">
        <v>1436</v>
      </c>
      <c r="L263" s="275"/>
      <c r="M263" s="328" t="s">
        <v>1936</v>
      </c>
      <c r="N263" s="273"/>
      <c r="O263" s="385"/>
      <c r="P263" s="385"/>
      <c r="Q263" s="365"/>
      <c r="R263" s="365"/>
      <c r="S263" s="365"/>
      <c r="T263" s="365"/>
      <c r="U263" s="365"/>
      <c r="V263" s="365"/>
    </row>
    <row r="264" spans="1:22" ht="43.5" hidden="1" x14ac:dyDescent="0.25">
      <c r="A264" s="365"/>
      <c r="B264" s="365"/>
      <c r="C264" s="273">
        <v>186</v>
      </c>
      <c r="D264" s="392">
        <f>VLOOKUP(Tabla132[[#This Row],[Código INDRA]],Tabla13[[Código Indra]:[ID2]],24,FALSE)</f>
        <v>517</v>
      </c>
      <c r="E264" s="273"/>
      <c r="F264" s="393">
        <v>45635</v>
      </c>
      <c r="G264" s="273" t="s">
        <v>1197</v>
      </c>
      <c r="H264" s="275" t="s">
        <v>1198</v>
      </c>
      <c r="I264" s="273" t="s">
        <v>3290</v>
      </c>
      <c r="J264" s="273" t="str">
        <f>VLOOKUP(Tabla132[[#This Row],[Código INDRA]],Tabla13[[Código Indra]:[ID2]],8,FALSE)</f>
        <v>mgomez</v>
      </c>
      <c r="K264" s="273" t="s">
        <v>1436</v>
      </c>
      <c r="L264" s="275"/>
      <c r="M264" s="273" t="s">
        <v>1936</v>
      </c>
      <c r="N264" s="328"/>
      <c r="O264" s="328"/>
      <c r="P264" s="328"/>
      <c r="Q264" s="365"/>
      <c r="R264" s="365"/>
      <c r="S264" s="365"/>
      <c r="T264" s="365"/>
      <c r="U264" s="365"/>
      <c r="V264" s="365"/>
    </row>
    <row r="265" spans="1:22" ht="21.75" hidden="1" x14ac:dyDescent="0.25">
      <c r="A265" s="365"/>
      <c r="B265" s="365"/>
      <c r="C265" s="273">
        <v>187</v>
      </c>
      <c r="D265" s="392">
        <f>VLOOKUP(Tabla132[[#This Row],[Código INDRA]],Tabla13[[Código Indra]:[ID2]],24,FALSE)</f>
        <v>519</v>
      </c>
      <c r="E265" s="394"/>
      <c r="F265" s="393">
        <v>45635</v>
      </c>
      <c r="G265" s="273" t="s">
        <v>1203</v>
      </c>
      <c r="H265" s="275" t="s">
        <v>1204</v>
      </c>
      <c r="I265" s="273" t="s">
        <v>3290</v>
      </c>
      <c r="J265" s="273" t="str">
        <f>VLOOKUP(Tabla132[[#This Row],[Código INDRA]],Tabla13[[Código Indra]:[ID2]],8,FALSE)</f>
        <v>mgomez</v>
      </c>
      <c r="K265" s="273" t="s">
        <v>1436</v>
      </c>
      <c r="L265" s="275" t="s">
        <v>1938</v>
      </c>
      <c r="M265" s="328" t="s">
        <v>1939</v>
      </c>
      <c r="N265" s="273"/>
      <c r="O265" s="385"/>
      <c r="P265" s="385"/>
      <c r="Q265" s="365"/>
      <c r="R265" s="365"/>
      <c r="S265" s="365"/>
      <c r="T265" s="365"/>
      <c r="U265" s="365"/>
      <c r="V265" s="365"/>
    </row>
    <row r="266" spans="1:22" ht="21.75" hidden="1" x14ac:dyDescent="0.25">
      <c r="A266" s="365"/>
      <c r="B266" s="365"/>
      <c r="C266" s="273">
        <v>188</v>
      </c>
      <c r="D266" s="392">
        <f>VLOOKUP(Tabla132[[#This Row],[Código INDRA]],Tabla13[[Código Indra]:[ID2]],24,FALSE)</f>
        <v>519</v>
      </c>
      <c r="E266" s="273"/>
      <c r="F266" s="393">
        <v>45635</v>
      </c>
      <c r="G266" s="273" t="s">
        <v>1203</v>
      </c>
      <c r="H266" s="275" t="s">
        <v>1940</v>
      </c>
      <c r="I266" s="273" t="s">
        <v>3300</v>
      </c>
      <c r="J266" s="273" t="str">
        <f>VLOOKUP(Tabla132[[#This Row],[Código INDRA]],Tabla13[[Código Indra]:[ID2]],8,FALSE)</f>
        <v>mgomez</v>
      </c>
      <c r="K266" s="273" t="s">
        <v>1436</v>
      </c>
      <c r="L266" s="275" t="s">
        <v>1938</v>
      </c>
      <c r="M266" s="273" t="s">
        <v>1939</v>
      </c>
      <c r="N266" s="328"/>
      <c r="O266" s="328"/>
      <c r="P266" s="328"/>
      <c r="Q266" s="365"/>
      <c r="R266" s="365"/>
      <c r="S266" s="365"/>
      <c r="T266" s="365"/>
      <c r="U266" s="365"/>
      <c r="V266" s="365"/>
    </row>
    <row r="267" spans="1:22" ht="43.5" hidden="1" x14ac:dyDescent="0.25">
      <c r="A267" s="365"/>
      <c r="B267" s="365"/>
      <c r="C267" s="273">
        <v>189</v>
      </c>
      <c r="D267" s="392">
        <f>VLOOKUP(Tabla132[[#This Row],[Código INDRA]],Tabla13[[Código Indra]:[ID2]],24,FALSE)</f>
        <v>520</v>
      </c>
      <c r="E267" s="394"/>
      <c r="F267" s="393">
        <v>45635</v>
      </c>
      <c r="G267" s="273" t="s">
        <v>1206</v>
      </c>
      <c r="H267" s="275" t="s">
        <v>1207</v>
      </c>
      <c r="I267" s="273" t="s">
        <v>3290</v>
      </c>
      <c r="J267" s="273" t="str">
        <f>VLOOKUP(Tabla132[[#This Row],[Código INDRA]],Tabla13[[Código Indra]:[ID2]],8,FALSE)</f>
        <v>mgomez</v>
      </c>
      <c r="K267" s="273" t="s">
        <v>1436</v>
      </c>
      <c r="L267" s="275"/>
      <c r="M267" s="328" t="s">
        <v>1936</v>
      </c>
      <c r="N267" s="273"/>
      <c r="O267" s="385"/>
      <c r="P267" s="385"/>
      <c r="Q267" s="365"/>
      <c r="R267" s="365"/>
      <c r="S267" s="365"/>
      <c r="T267" s="365"/>
      <c r="U267" s="365"/>
      <c r="V267" s="365"/>
    </row>
    <row r="268" spans="1:22" ht="43.5" hidden="1" x14ac:dyDescent="0.25">
      <c r="A268" s="365"/>
      <c r="B268" s="365"/>
      <c r="C268" s="273">
        <v>190</v>
      </c>
      <c r="D268" s="392">
        <f>VLOOKUP(Tabla132[[#This Row],[Código INDRA]],Tabla13[[Código Indra]:[ID2]],24,FALSE)</f>
        <v>521</v>
      </c>
      <c r="E268" s="273"/>
      <c r="F268" s="393">
        <v>45635</v>
      </c>
      <c r="G268" s="273" t="s">
        <v>1209</v>
      </c>
      <c r="H268" s="275" t="s">
        <v>1210</v>
      </c>
      <c r="I268" s="273" t="s">
        <v>3290</v>
      </c>
      <c r="J268" s="273" t="str">
        <f>VLOOKUP(Tabla132[[#This Row],[Código INDRA]],Tabla13[[Código Indra]:[ID2]],8,FALSE)</f>
        <v>mgomez</v>
      </c>
      <c r="K268" s="273" t="s">
        <v>1436</v>
      </c>
      <c r="L268" s="275"/>
      <c r="M268" s="273" t="s">
        <v>1936</v>
      </c>
      <c r="N268" s="328"/>
      <c r="O268" s="328"/>
      <c r="P268" s="328"/>
      <c r="Q268" s="365"/>
      <c r="R268" s="365"/>
      <c r="S268" s="365"/>
      <c r="T268" s="365"/>
      <c r="U268" s="365"/>
      <c r="V268" s="365"/>
    </row>
    <row r="269" spans="1:22" ht="43.5" hidden="1" x14ac:dyDescent="0.25">
      <c r="A269" s="365"/>
      <c r="B269" s="365"/>
      <c r="C269" s="273">
        <v>191</v>
      </c>
      <c r="D269" s="392">
        <f>VLOOKUP(Tabla132[[#This Row],[Código INDRA]],Tabla13[[Código Indra]:[ID2]],24,FALSE)</f>
        <v>522</v>
      </c>
      <c r="E269" s="394"/>
      <c r="F269" s="393">
        <v>45635</v>
      </c>
      <c r="G269" s="273" t="s">
        <v>1212</v>
      </c>
      <c r="H269" s="275" t="s">
        <v>1213</v>
      </c>
      <c r="I269" s="273" t="s">
        <v>3290</v>
      </c>
      <c r="J269" s="273" t="str">
        <f>VLOOKUP(Tabla132[[#This Row],[Código INDRA]],Tabla13[[Código Indra]:[ID2]],8,FALSE)</f>
        <v>mgomez</v>
      </c>
      <c r="K269" s="273" t="s">
        <v>1436</v>
      </c>
      <c r="L269" s="275"/>
      <c r="M269" s="328" t="s">
        <v>1936</v>
      </c>
      <c r="N269" s="273"/>
      <c r="O269" s="385"/>
      <c r="P269" s="385"/>
      <c r="Q269" s="365"/>
      <c r="R269" s="365"/>
      <c r="S269" s="365"/>
      <c r="T269" s="365"/>
      <c r="U269" s="365"/>
      <c r="V269" s="365"/>
    </row>
    <row r="270" spans="1:22" ht="43.5" hidden="1" x14ac:dyDescent="0.25">
      <c r="A270" s="365"/>
      <c r="B270" s="365"/>
      <c r="C270" s="273">
        <v>192</v>
      </c>
      <c r="D270" s="392">
        <f>VLOOKUP(Tabla132[[#This Row],[Código INDRA]],Tabla13[[Código Indra]:[ID2]],24,FALSE)</f>
        <v>523</v>
      </c>
      <c r="E270" s="273"/>
      <c r="F270" s="393">
        <v>45635</v>
      </c>
      <c r="G270" s="273" t="s">
        <v>1215</v>
      </c>
      <c r="H270" s="275" t="s">
        <v>1216</v>
      </c>
      <c r="I270" s="273" t="s">
        <v>3290</v>
      </c>
      <c r="J270" s="273" t="str">
        <f>VLOOKUP(Tabla132[[#This Row],[Código INDRA]],Tabla13[[Código Indra]:[ID2]],8,FALSE)</f>
        <v>mgomez</v>
      </c>
      <c r="K270" s="273" t="s">
        <v>1436</v>
      </c>
      <c r="L270" s="275"/>
      <c r="M270" s="273" t="s">
        <v>1936</v>
      </c>
      <c r="N270" s="328"/>
      <c r="O270" s="328"/>
      <c r="P270" s="328"/>
      <c r="Q270" s="365"/>
      <c r="R270" s="365"/>
      <c r="S270" s="365"/>
      <c r="T270" s="365"/>
      <c r="U270" s="365"/>
      <c r="V270" s="365"/>
    </row>
    <row r="271" spans="1:22" ht="21.75" hidden="1" x14ac:dyDescent="0.25">
      <c r="A271" s="365"/>
      <c r="B271" s="365"/>
      <c r="C271" s="273">
        <v>193</v>
      </c>
      <c r="D271" s="392">
        <f>VLOOKUP(Tabla132[[#This Row],[Código INDRA]],Tabla13[[Código Indra]:[ID2]],24,FALSE)</f>
        <v>524</v>
      </c>
      <c r="E271" s="394"/>
      <c r="F271" s="393">
        <v>45635</v>
      </c>
      <c r="G271" s="273" t="s">
        <v>1218</v>
      </c>
      <c r="H271" s="275" t="s">
        <v>1219</v>
      </c>
      <c r="I271" s="273" t="s">
        <v>3290</v>
      </c>
      <c r="J271" s="273" t="str">
        <f>VLOOKUP(Tabla132[[#This Row],[Código INDRA]],Tabla13[[Código Indra]:[ID2]],8,FALSE)</f>
        <v>mgomez</v>
      </c>
      <c r="K271" s="273" t="s">
        <v>1436</v>
      </c>
      <c r="L271" s="275"/>
      <c r="M271" s="328" t="s">
        <v>1939</v>
      </c>
      <c r="N271" s="273"/>
      <c r="O271" s="385"/>
      <c r="P271" s="385"/>
      <c r="Q271" s="365"/>
      <c r="R271" s="365"/>
      <c r="S271" s="365"/>
      <c r="T271" s="365"/>
      <c r="U271" s="365"/>
      <c r="V271" s="365"/>
    </row>
    <row r="272" spans="1:22" ht="43.5" hidden="1" x14ac:dyDescent="0.25">
      <c r="A272" s="365"/>
      <c r="B272" s="365"/>
      <c r="C272" s="273">
        <v>194</v>
      </c>
      <c r="D272" s="392">
        <f>VLOOKUP(Tabla132[[#This Row],[Código INDRA]],Tabla13[[Código Indra]:[ID2]],24,FALSE)</f>
        <v>525</v>
      </c>
      <c r="E272" s="273"/>
      <c r="F272" s="393">
        <v>45635</v>
      </c>
      <c r="G272" s="273" t="s">
        <v>1221</v>
      </c>
      <c r="H272" s="275" t="s">
        <v>1222</v>
      </c>
      <c r="I272" s="273" t="s">
        <v>3290</v>
      </c>
      <c r="J272" s="273" t="str">
        <f>VLOOKUP(Tabla132[[#This Row],[Código INDRA]],Tabla13[[Código Indra]:[ID2]],8,FALSE)</f>
        <v>mgomez</v>
      </c>
      <c r="K272" s="273" t="s">
        <v>1436</v>
      </c>
      <c r="L272" s="275"/>
      <c r="M272" s="273" t="s">
        <v>1936</v>
      </c>
      <c r="N272" s="328"/>
      <c r="O272" s="328"/>
      <c r="P272" s="328"/>
      <c r="Q272" s="365"/>
      <c r="R272" s="365"/>
      <c r="S272" s="365"/>
      <c r="T272" s="365"/>
      <c r="U272" s="365"/>
      <c r="V272" s="365"/>
    </row>
    <row r="273" spans="1:22" ht="43.5" hidden="1" x14ac:dyDescent="0.25">
      <c r="A273" s="365"/>
      <c r="B273" s="365"/>
      <c r="C273" s="273">
        <v>195</v>
      </c>
      <c r="D273" s="392">
        <f>VLOOKUP(Tabla132[[#This Row],[Código INDRA]],Tabla13[[Código Indra]:[ID2]],24,FALSE)</f>
        <v>526</v>
      </c>
      <c r="E273" s="394"/>
      <c r="F273" s="393">
        <v>45635</v>
      </c>
      <c r="G273" s="273" t="s">
        <v>1224</v>
      </c>
      <c r="H273" s="275" t="s">
        <v>1225</v>
      </c>
      <c r="I273" s="273" t="s">
        <v>3290</v>
      </c>
      <c r="J273" s="273" t="str">
        <f>VLOOKUP(Tabla132[[#This Row],[Código INDRA]],Tabla13[[Código Indra]:[ID2]],8,FALSE)</f>
        <v>mgomez</v>
      </c>
      <c r="K273" s="273" t="s">
        <v>1436</v>
      </c>
      <c r="L273" s="275"/>
      <c r="M273" s="328" t="s">
        <v>1936</v>
      </c>
      <c r="N273" s="273"/>
      <c r="O273" s="385"/>
      <c r="P273" s="385"/>
      <c r="Q273" s="365"/>
      <c r="R273" s="365"/>
      <c r="S273" s="365"/>
      <c r="T273" s="365"/>
      <c r="U273" s="365"/>
      <c r="V273" s="365"/>
    </row>
    <row r="274" spans="1:22" ht="43.5" hidden="1" x14ac:dyDescent="0.25">
      <c r="A274" s="365"/>
      <c r="B274" s="365"/>
      <c r="C274" s="273">
        <v>196</v>
      </c>
      <c r="D274" s="392">
        <f>VLOOKUP(Tabla132[[#This Row],[Código INDRA]],Tabla13[[Código Indra]:[ID2]],24,FALSE)</f>
        <v>527</v>
      </c>
      <c r="E274" s="273"/>
      <c r="F274" s="393">
        <v>45635</v>
      </c>
      <c r="G274" s="273" t="s">
        <v>1227</v>
      </c>
      <c r="H274" s="275" t="s">
        <v>1228</v>
      </c>
      <c r="I274" s="273" t="s">
        <v>3290</v>
      </c>
      <c r="J274" s="273" t="str">
        <f>VLOOKUP(Tabla132[[#This Row],[Código INDRA]],Tabla13[[Código Indra]:[ID2]],8,FALSE)</f>
        <v>mgomez</v>
      </c>
      <c r="K274" s="273" t="s">
        <v>1436</v>
      </c>
      <c r="L274" s="275"/>
      <c r="M274" s="273" t="s">
        <v>1936</v>
      </c>
      <c r="N274" s="328"/>
      <c r="O274" s="328"/>
      <c r="P274" s="328"/>
      <c r="Q274" s="365"/>
      <c r="R274" s="365"/>
      <c r="S274" s="365"/>
      <c r="T274" s="365"/>
      <c r="U274" s="365"/>
      <c r="V274" s="365"/>
    </row>
    <row r="275" spans="1:22" ht="43.5" hidden="1" x14ac:dyDescent="0.25">
      <c r="A275" s="365"/>
      <c r="B275" s="365"/>
      <c r="C275" s="273">
        <v>197</v>
      </c>
      <c r="D275" s="392">
        <f>VLOOKUP(Tabla132[[#This Row],[Código INDRA]],Tabla13[[Código Indra]:[ID2]],24,FALSE)</f>
        <v>528</v>
      </c>
      <c r="E275" s="394"/>
      <c r="F275" s="393">
        <v>45635</v>
      </c>
      <c r="G275" s="273" t="s">
        <v>1230</v>
      </c>
      <c r="H275" s="275" t="s">
        <v>1231</v>
      </c>
      <c r="I275" s="273" t="s">
        <v>3290</v>
      </c>
      <c r="J275" s="273" t="str">
        <f>VLOOKUP(Tabla132[[#This Row],[Código INDRA]],Tabla13[[Código Indra]:[ID2]],8,FALSE)</f>
        <v>mgomez</v>
      </c>
      <c r="K275" s="273" t="s">
        <v>1436</v>
      </c>
      <c r="L275" s="275"/>
      <c r="M275" s="328" t="s">
        <v>1936</v>
      </c>
      <c r="N275" s="273"/>
      <c r="O275" s="385"/>
      <c r="P275" s="385"/>
      <c r="Q275" s="365"/>
      <c r="R275" s="365"/>
      <c r="S275" s="365"/>
      <c r="T275" s="365"/>
      <c r="U275" s="365"/>
      <c r="V275" s="365"/>
    </row>
    <row r="276" spans="1:22" ht="43.5" hidden="1" x14ac:dyDescent="0.25">
      <c r="A276" s="365"/>
      <c r="B276" s="365"/>
      <c r="C276" s="273">
        <v>198</v>
      </c>
      <c r="D276" s="392">
        <f>VLOOKUP(Tabla132[[#This Row],[Código INDRA]],Tabla13[[Código Indra]:[ID2]],24,FALSE)</f>
        <v>529</v>
      </c>
      <c r="E276" s="273"/>
      <c r="F276" s="393">
        <v>45635</v>
      </c>
      <c r="G276" s="273" t="s">
        <v>1233</v>
      </c>
      <c r="H276" s="275" t="s">
        <v>1234</v>
      </c>
      <c r="I276" s="273" t="s">
        <v>3290</v>
      </c>
      <c r="J276" s="273" t="str">
        <f>VLOOKUP(Tabla132[[#This Row],[Código INDRA]],Tabla13[[Código Indra]:[ID2]],8,FALSE)</f>
        <v>mgomez</v>
      </c>
      <c r="K276" s="273" t="s">
        <v>1436</v>
      </c>
      <c r="L276" s="275"/>
      <c r="M276" s="273" t="s">
        <v>1936</v>
      </c>
      <c r="N276" s="328"/>
      <c r="O276" s="328"/>
      <c r="P276" s="328"/>
      <c r="Q276" s="365"/>
      <c r="R276" s="365"/>
      <c r="S276" s="365"/>
      <c r="T276" s="365"/>
      <c r="U276" s="365"/>
      <c r="V276" s="365"/>
    </row>
    <row r="277" spans="1:22" ht="43.5" hidden="1" x14ac:dyDescent="0.25">
      <c r="A277" s="365"/>
      <c r="B277" s="365"/>
      <c r="C277" s="273">
        <v>199</v>
      </c>
      <c r="D277" s="392">
        <f>VLOOKUP(Tabla132[[#This Row],[Código INDRA]],Tabla13[[Código Indra]:[ID2]],24,FALSE)</f>
        <v>530</v>
      </c>
      <c r="E277" s="394"/>
      <c r="F277" s="393">
        <v>45635</v>
      </c>
      <c r="G277" s="273" t="s">
        <v>1236</v>
      </c>
      <c r="H277" s="275" t="s">
        <v>1237</v>
      </c>
      <c r="I277" s="273" t="s">
        <v>3290</v>
      </c>
      <c r="J277" s="273" t="str">
        <f>VLOOKUP(Tabla132[[#This Row],[Código INDRA]],Tabla13[[Código Indra]:[ID2]],8,FALSE)</f>
        <v>mgomez</v>
      </c>
      <c r="K277" s="273" t="s">
        <v>1436</v>
      </c>
      <c r="L277" s="275"/>
      <c r="M277" s="328" t="s">
        <v>1936</v>
      </c>
      <c r="N277" s="273"/>
      <c r="O277" s="385"/>
      <c r="P277" s="385"/>
      <c r="Q277" s="365"/>
      <c r="R277" s="365"/>
      <c r="S277" s="365"/>
      <c r="T277" s="365"/>
      <c r="U277" s="365"/>
      <c r="V277" s="365"/>
    </row>
    <row r="278" spans="1:22" ht="43.5" hidden="1" x14ac:dyDescent="0.25">
      <c r="A278" s="365"/>
      <c r="B278" s="365"/>
      <c r="C278" s="273">
        <v>200</v>
      </c>
      <c r="D278" s="392">
        <f>VLOOKUP(Tabla132[[#This Row],[Código INDRA]],Tabla13[[Código Indra]:[ID2]],24,FALSE)</f>
        <v>531</v>
      </c>
      <c r="E278" s="273"/>
      <c r="F278" s="393">
        <v>45635</v>
      </c>
      <c r="G278" s="273" t="s">
        <v>1239</v>
      </c>
      <c r="H278" s="275" t="s">
        <v>1941</v>
      </c>
      <c r="I278" s="273" t="s">
        <v>3290</v>
      </c>
      <c r="J278" s="273" t="str">
        <f>VLOOKUP(Tabla132[[#This Row],[Código INDRA]],Tabla13[[Código Indra]:[ID2]],8,FALSE)</f>
        <v>mgomez</v>
      </c>
      <c r="K278" s="273" t="s">
        <v>1436</v>
      </c>
      <c r="L278" s="275" t="s">
        <v>1942</v>
      </c>
      <c r="M278" s="273" t="s">
        <v>1934</v>
      </c>
      <c r="N278" s="328"/>
      <c r="O278" s="328"/>
      <c r="P278" s="328"/>
      <c r="Q278" s="365"/>
      <c r="R278" s="365"/>
      <c r="S278" s="365"/>
      <c r="T278" s="365"/>
      <c r="U278" s="365"/>
      <c r="V278" s="365"/>
    </row>
    <row r="279" spans="1:22" ht="43.5" hidden="1" x14ac:dyDescent="0.25">
      <c r="A279" s="365"/>
      <c r="B279" s="365"/>
      <c r="C279" s="273">
        <v>201</v>
      </c>
      <c r="D279" s="392">
        <f>VLOOKUP(Tabla132[[#This Row],[Código INDRA]],Tabla13[[Código Indra]:[ID2]],24,FALSE)</f>
        <v>532</v>
      </c>
      <c r="E279" s="394"/>
      <c r="F279" s="393">
        <v>45635</v>
      </c>
      <c r="G279" s="273" t="s">
        <v>1242</v>
      </c>
      <c r="H279" s="275" t="s">
        <v>1243</v>
      </c>
      <c r="I279" s="273" t="s">
        <v>3290</v>
      </c>
      <c r="J279" s="273" t="str">
        <f>VLOOKUP(Tabla132[[#This Row],[Código INDRA]],Tabla13[[Código Indra]:[ID2]],8,FALSE)</f>
        <v>mgomez</v>
      </c>
      <c r="K279" s="273" t="s">
        <v>1436</v>
      </c>
      <c r="L279" s="275" t="s">
        <v>1942</v>
      </c>
      <c r="M279" s="328" t="s">
        <v>1934</v>
      </c>
      <c r="N279" s="273"/>
      <c r="O279" s="385"/>
      <c r="P279" s="385"/>
      <c r="Q279" s="365"/>
      <c r="R279" s="365"/>
      <c r="S279" s="365"/>
      <c r="T279" s="365"/>
      <c r="U279" s="365"/>
      <c r="V279" s="365"/>
    </row>
    <row r="280" spans="1:22" ht="195.75" hidden="1" x14ac:dyDescent="0.25">
      <c r="A280" s="365"/>
      <c r="B280" s="365"/>
      <c r="C280" s="273">
        <v>202</v>
      </c>
      <c r="D280" s="392">
        <f>VLOOKUP(Tabla132[[#This Row],[Código INDRA]],Tabla13[[Código Indra]:[ID2]],24,FALSE)</f>
        <v>533</v>
      </c>
      <c r="E280" s="273"/>
      <c r="F280" s="393">
        <v>45635</v>
      </c>
      <c r="G280" s="273" t="s">
        <v>1245</v>
      </c>
      <c r="H280" s="275" t="s">
        <v>1246</v>
      </c>
      <c r="I280" s="273" t="s">
        <v>3290</v>
      </c>
      <c r="J280" s="273" t="str">
        <f>VLOOKUP(Tabla132[[#This Row],[Código INDRA]],Tabla13[[Código Indra]:[ID2]],8,FALSE)</f>
        <v>mgomez</v>
      </c>
      <c r="K280" s="273" t="s">
        <v>1436</v>
      </c>
      <c r="L280" s="275" t="s">
        <v>1943</v>
      </c>
      <c r="M280" s="273" t="s">
        <v>1672</v>
      </c>
      <c r="N280" s="328"/>
      <c r="O280" s="328"/>
      <c r="P280" s="328"/>
      <c r="Q280" s="365"/>
      <c r="R280" s="365"/>
      <c r="S280" s="365"/>
      <c r="T280" s="365"/>
      <c r="U280" s="365"/>
      <c r="V280" s="365"/>
    </row>
    <row r="281" spans="1:22" ht="239.25" hidden="1" x14ac:dyDescent="0.25">
      <c r="A281" s="365"/>
      <c r="B281" s="365"/>
      <c r="C281" s="273">
        <v>204</v>
      </c>
      <c r="D281" s="392">
        <f>VLOOKUP(Tabla132[[#This Row],[Código INDRA]],Tabla13[[Código Indra]:[ID2]],24,FALSE)</f>
        <v>534</v>
      </c>
      <c r="E281" s="394"/>
      <c r="F281" s="393">
        <v>45635</v>
      </c>
      <c r="G281" s="273" t="s">
        <v>1249</v>
      </c>
      <c r="H281" s="275" t="s">
        <v>1250</v>
      </c>
      <c r="I281" s="273" t="s">
        <v>3290</v>
      </c>
      <c r="J281" s="273" t="str">
        <f>VLOOKUP(Tabla132[[#This Row],[Código INDRA]],Tabla13[[Código Indra]:[ID2]],8,FALSE)</f>
        <v>mgomez</v>
      </c>
      <c r="K281" s="273" t="s">
        <v>1436</v>
      </c>
      <c r="L281" s="275" t="s">
        <v>1944</v>
      </c>
      <c r="M281" s="328" t="s">
        <v>1945</v>
      </c>
      <c r="N281" s="273"/>
      <c r="O281" s="385"/>
      <c r="P281" s="385"/>
      <c r="Q281" s="365"/>
      <c r="R281" s="365"/>
      <c r="S281" s="365"/>
      <c r="T281" s="365"/>
      <c r="U281" s="365"/>
      <c r="V281" s="365"/>
    </row>
    <row r="282" spans="1:22" ht="195.75" hidden="1" x14ac:dyDescent="0.25">
      <c r="A282" s="365"/>
      <c r="B282" s="365"/>
      <c r="C282" s="273">
        <v>205</v>
      </c>
      <c r="D282" s="392">
        <f>VLOOKUP(Tabla132[[#This Row],[Código INDRA]],Tabla13[[Código Indra]:[ID2]],24,FALSE)</f>
        <v>535</v>
      </c>
      <c r="E282" s="273"/>
      <c r="F282" s="393">
        <v>45635</v>
      </c>
      <c r="G282" s="273" t="s">
        <v>1252</v>
      </c>
      <c r="H282" s="275" t="s">
        <v>1946</v>
      </c>
      <c r="I282" s="273" t="s">
        <v>3290</v>
      </c>
      <c r="J282" s="273" t="str">
        <f>VLOOKUP(Tabla132[[#This Row],[Código INDRA]],Tabla13[[Código Indra]:[ID2]],8,FALSE)</f>
        <v>mgomez</v>
      </c>
      <c r="K282" s="273" t="s">
        <v>1436</v>
      </c>
      <c r="L282" s="275" t="s">
        <v>1947</v>
      </c>
      <c r="M282" s="273" t="s">
        <v>1672</v>
      </c>
      <c r="N282" s="328"/>
      <c r="O282" s="328"/>
      <c r="P282" s="328"/>
      <c r="Q282" s="365"/>
      <c r="R282" s="365"/>
      <c r="S282" s="365"/>
      <c r="T282" s="365"/>
      <c r="U282" s="365"/>
      <c r="V282" s="365"/>
    </row>
    <row r="283" spans="1:22" ht="65.25" hidden="1" x14ac:dyDescent="0.25">
      <c r="A283" s="365"/>
      <c r="B283" s="365"/>
      <c r="C283" s="273">
        <v>206</v>
      </c>
      <c r="D283" s="392">
        <f>VLOOKUP(Tabla132[[#This Row],[Código INDRA]],Tabla13[[Código Indra]:[ID2]],24,FALSE)</f>
        <v>536</v>
      </c>
      <c r="E283" s="394"/>
      <c r="F283" s="393">
        <v>45635</v>
      </c>
      <c r="G283" s="273" t="s">
        <v>1255</v>
      </c>
      <c r="H283" s="275" t="s">
        <v>1948</v>
      </c>
      <c r="I283" s="273" t="s">
        <v>3290</v>
      </c>
      <c r="J283" s="273" t="str">
        <f>VLOOKUP(Tabla132[[#This Row],[Código INDRA]],Tabla13[[Código Indra]:[ID2]],8,FALSE)</f>
        <v>mgomez</v>
      </c>
      <c r="K283" s="273" t="s">
        <v>1436</v>
      </c>
      <c r="L283" s="275"/>
      <c r="M283" s="328" t="s">
        <v>1934</v>
      </c>
      <c r="N283" s="273"/>
      <c r="O283" s="385"/>
      <c r="P283" s="385"/>
      <c r="Q283" s="365"/>
      <c r="R283" s="365"/>
      <c r="S283" s="365"/>
      <c r="T283" s="365"/>
      <c r="U283" s="365"/>
      <c r="V283" s="365"/>
    </row>
    <row r="284" spans="1:22" ht="195.75" hidden="1" x14ac:dyDescent="0.25">
      <c r="A284" s="365"/>
      <c r="B284" s="365"/>
      <c r="C284" s="273">
        <v>207</v>
      </c>
      <c r="D284" s="392">
        <f>VLOOKUP(Tabla132[[#This Row],[Código INDRA]],Tabla13[[Código Indra]:[ID2]],24,FALSE)</f>
        <v>537</v>
      </c>
      <c r="E284" s="273"/>
      <c r="F284" s="393">
        <v>45635</v>
      </c>
      <c r="G284" s="273" t="s">
        <v>1258</v>
      </c>
      <c r="H284" s="275" t="s">
        <v>1949</v>
      </c>
      <c r="I284" s="273" t="s">
        <v>3290</v>
      </c>
      <c r="J284" s="273" t="str">
        <f>VLOOKUP(Tabla132[[#This Row],[Código INDRA]],Tabla13[[Código Indra]:[ID2]],8,FALSE)</f>
        <v>mgomez</v>
      </c>
      <c r="K284" s="273" t="s">
        <v>1436</v>
      </c>
      <c r="L284" s="275" t="s">
        <v>1950</v>
      </c>
      <c r="M284" s="273" t="s">
        <v>1672</v>
      </c>
      <c r="N284" s="328"/>
      <c r="O284" s="328"/>
      <c r="P284" s="328"/>
      <c r="Q284" s="365"/>
      <c r="R284" s="365"/>
      <c r="S284" s="365"/>
      <c r="T284" s="365"/>
      <c r="U284" s="365"/>
      <c r="V284" s="365"/>
    </row>
    <row r="285" spans="1:22" ht="195.75" hidden="1" x14ac:dyDescent="0.25">
      <c r="A285" s="365"/>
      <c r="B285" s="365"/>
      <c r="C285" s="273">
        <v>208</v>
      </c>
      <c r="D285" s="392">
        <f>VLOOKUP(Tabla132[[#This Row],[Código INDRA]],Tabla13[[Código Indra]:[ID2]],24,FALSE)</f>
        <v>538</v>
      </c>
      <c r="E285" s="394"/>
      <c r="F285" s="393">
        <v>45635</v>
      </c>
      <c r="G285" s="273" t="s">
        <v>1261</v>
      </c>
      <c r="H285" s="275" t="s">
        <v>1951</v>
      </c>
      <c r="I285" s="273" t="s">
        <v>3290</v>
      </c>
      <c r="J285" s="273" t="str">
        <f>VLOOKUP(Tabla132[[#This Row],[Código INDRA]],Tabla13[[Código Indra]:[ID2]],8,FALSE)</f>
        <v>mgomez</v>
      </c>
      <c r="K285" s="273" t="s">
        <v>1436</v>
      </c>
      <c r="L285" s="275" t="s">
        <v>1952</v>
      </c>
      <c r="M285" s="328" t="s">
        <v>1672</v>
      </c>
      <c r="N285" s="273"/>
      <c r="O285" s="385"/>
      <c r="P285" s="385"/>
      <c r="Q285" s="365"/>
      <c r="R285" s="365"/>
      <c r="S285" s="365"/>
      <c r="T285" s="365"/>
      <c r="U285" s="365"/>
      <c r="V285" s="365"/>
    </row>
    <row r="286" spans="1:22" ht="108.75" hidden="1" x14ac:dyDescent="0.25">
      <c r="A286" s="365"/>
      <c r="B286" s="365"/>
      <c r="C286" s="273">
        <v>209</v>
      </c>
      <c r="D286" s="392">
        <f>VLOOKUP(Tabla132[[#This Row],[Código INDRA]],Tabla13[[Código Indra]:[ID2]],24,FALSE)</f>
        <v>539</v>
      </c>
      <c r="E286" s="273"/>
      <c r="F286" s="393">
        <v>45636</v>
      </c>
      <c r="G286" s="273" t="s">
        <v>1264</v>
      </c>
      <c r="H286" s="275" t="s">
        <v>1953</v>
      </c>
      <c r="I286" s="273" t="s">
        <v>3290</v>
      </c>
      <c r="J286" s="273" t="str">
        <f>VLOOKUP(Tabla132[[#This Row],[Código INDRA]],Tabla13[[Código Indra]:[ID2]],8,FALSE)</f>
        <v>mgomez</v>
      </c>
      <c r="K286" s="273" t="s">
        <v>1436</v>
      </c>
      <c r="L286" s="275" t="s">
        <v>1954</v>
      </c>
      <c r="M286" s="273" t="s">
        <v>1715</v>
      </c>
      <c r="N286" s="328"/>
      <c r="O286" s="328" t="s">
        <v>1451</v>
      </c>
      <c r="P286" s="328"/>
      <c r="Q286" s="365"/>
      <c r="R286" s="365"/>
      <c r="S286" s="365"/>
      <c r="T286" s="365"/>
      <c r="U286" s="365"/>
      <c r="V286" s="365"/>
    </row>
    <row r="287" spans="1:22" ht="21.75" x14ac:dyDescent="0.25">
      <c r="A287" s="365"/>
      <c r="B287" s="365"/>
      <c r="C287" s="273">
        <v>210</v>
      </c>
      <c r="D287" s="392">
        <f>VLOOKUP(Tabla132[[#This Row],[Código INDRA]],Tabla13[[Código Indra]:[ID2]],24,FALSE)</f>
        <v>540</v>
      </c>
      <c r="E287" s="394"/>
      <c r="F287" s="393"/>
      <c r="G287" s="273" t="s">
        <v>108</v>
      </c>
      <c r="H287" s="275" t="s">
        <v>109</v>
      </c>
      <c r="I287" s="273"/>
      <c r="J287" s="273" t="str">
        <f>VLOOKUP(Tabla132[[#This Row],[Código INDRA]],Tabla13[[Código Indra]:[ID2]],8,FALSE)</f>
        <v>mmvicente</v>
      </c>
      <c r="K287" s="273"/>
      <c r="L287" s="275" t="s">
        <v>3326</v>
      </c>
      <c r="M287" s="328"/>
      <c r="N287" s="273"/>
      <c r="O287" s="385" t="s">
        <v>1451</v>
      </c>
      <c r="P287" s="385"/>
      <c r="Q287" s="365"/>
      <c r="R287" s="365"/>
      <c r="S287" s="365"/>
      <c r="T287" s="365"/>
      <c r="U287" s="365"/>
      <c r="V287" s="365"/>
    </row>
    <row r="288" spans="1:22" ht="21.75" x14ac:dyDescent="0.25">
      <c r="A288" s="365"/>
      <c r="B288" s="365"/>
      <c r="C288" s="273">
        <v>212</v>
      </c>
      <c r="D288" s="392">
        <f>VLOOKUP(Tabla132[[#This Row],[Código INDRA]],Tabla13[[Código Indra]:[ID2]],24,FALSE)</f>
        <v>540</v>
      </c>
      <c r="E288" s="394"/>
      <c r="F288" s="393">
        <v>45698</v>
      </c>
      <c r="G288" s="273" t="s">
        <v>108</v>
      </c>
      <c r="H288" s="275" t="s">
        <v>109</v>
      </c>
      <c r="I288" s="273"/>
      <c r="J288" s="273" t="str">
        <f>VLOOKUP(Tabla132[[#This Row],[Código INDRA]],Tabla13[[Código Indra]:[ID2]],8,FALSE)</f>
        <v>mmvicente</v>
      </c>
      <c r="K288" s="273"/>
      <c r="L288" s="275" t="s">
        <v>1874</v>
      </c>
      <c r="M288" s="408" t="s">
        <v>1838</v>
      </c>
      <c r="N288" s="273"/>
      <c r="O288" s="385" t="s">
        <v>6</v>
      </c>
      <c r="P288" s="385"/>
      <c r="Q288" s="365"/>
      <c r="R288" s="365"/>
      <c r="S288" s="365"/>
      <c r="T288" s="365"/>
      <c r="U288" s="365"/>
      <c r="V288" s="365"/>
    </row>
    <row r="289" spans="1:22" ht="87" hidden="1" x14ac:dyDescent="0.25">
      <c r="A289" s="365"/>
      <c r="B289" s="365"/>
      <c r="C289" s="273">
        <v>213</v>
      </c>
      <c r="D289" s="392">
        <f>VLOOKUP(Tabla132[[#This Row],[Código INDRA]],Tabla13[[Código Indra]:[ID2]],24,FALSE)</f>
        <v>202</v>
      </c>
      <c r="E289" s="273"/>
      <c r="F289" s="393">
        <v>45580</v>
      </c>
      <c r="G289" s="273" t="s">
        <v>536</v>
      </c>
      <c r="H289" s="275" t="s">
        <v>537</v>
      </c>
      <c r="I289" s="273" t="s">
        <v>3290</v>
      </c>
      <c r="J289" s="273" t="str">
        <f>VLOOKUP(Tabla132[[#This Row],[Código INDRA]],Tabla13[[Código Indra]:[ID2]],8,FALSE)</f>
        <v>adalvarezm</v>
      </c>
      <c r="K289" s="273" t="s">
        <v>1436</v>
      </c>
      <c r="L289" s="275" t="s">
        <v>1844</v>
      </c>
      <c r="M289" s="273" t="s">
        <v>1845</v>
      </c>
      <c r="N289" s="328"/>
      <c r="O289" s="328" t="s">
        <v>6</v>
      </c>
      <c r="P289" s="328"/>
      <c r="Q289" s="365"/>
      <c r="R289" s="365"/>
      <c r="S289" s="365"/>
      <c r="T289" s="365"/>
      <c r="U289" s="365"/>
      <c r="V289" s="365"/>
    </row>
    <row r="290" spans="1:22" ht="152.25" hidden="1" x14ac:dyDescent="0.25">
      <c r="A290" s="365"/>
      <c r="B290" s="365"/>
      <c r="C290" s="273"/>
      <c r="D290" s="392" t="e">
        <f>VLOOKUP(Tabla132[[#This Row],[Código INDRA]],Tabla13[[Código Indra]:[ID2]],24,FALSE)</f>
        <v>#N/A</v>
      </c>
      <c r="E290" s="394"/>
      <c r="F290" s="393">
        <v>45698</v>
      </c>
      <c r="G290" s="273" t="s">
        <v>166</v>
      </c>
      <c r="H290" s="275" t="s">
        <v>167</v>
      </c>
      <c r="I290" s="273"/>
      <c r="J290" s="273" t="e">
        <f>VLOOKUP(Tabla132[[#This Row],[Código INDRA]],Tabla13[[Código Indra]:[ID2]],8,FALSE)</f>
        <v>#N/A</v>
      </c>
      <c r="K290" s="273" t="s">
        <v>1436</v>
      </c>
      <c r="L290" s="275" t="s">
        <v>1874</v>
      </c>
      <c r="M290" s="413" t="s">
        <v>1873</v>
      </c>
      <c r="N290" s="273"/>
      <c r="O290" s="385"/>
      <c r="P290" s="385"/>
      <c r="Q290" s="365"/>
      <c r="R290" s="365"/>
      <c r="S290" s="365"/>
      <c r="T290" s="365"/>
      <c r="U290" s="365"/>
      <c r="V290" s="365"/>
    </row>
    <row r="291" spans="1:22" ht="152.25" hidden="1" x14ac:dyDescent="0.25">
      <c r="A291" s="365"/>
      <c r="B291" s="365"/>
      <c r="C291" s="273"/>
      <c r="D291" s="392" t="e">
        <f>VLOOKUP(Tabla132[[#This Row],[Código INDRA]],Tabla13[[Código Indra]:[ID2]],24,FALSE)</f>
        <v>#N/A</v>
      </c>
      <c r="E291" s="273"/>
      <c r="F291" s="393">
        <v>45698</v>
      </c>
      <c r="G291" s="273" t="s">
        <v>194</v>
      </c>
      <c r="H291" s="275" t="s">
        <v>195</v>
      </c>
      <c r="I291" s="273"/>
      <c r="J291" s="273" t="e">
        <f>VLOOKUP(Tabla132[[#This Row],[Código INDRA]],Tabla13[[Código Indra]:[ID2]],8,FALSE)</f>
        <v>#N/A</v>
      </c>
      <c r="K291" s="273" t="s">
        <v>1436</v>
      </c>
      <c r="L291" s="275" t="s">
        <v>1874</v>
      </c>
      <c r="M291" s="413" t="s">
        <v>1873</v>
      </c>
      <c r="N291" s="328"/>
      <c r="O291" s="328"/>
      <c r="P291" s="328"/>
      <c r="Q291" s="365"/>
      <c r="R291" s="365"/>
      <c r="S291" s="365"/>
      <c r="T291" s="365"/>
      <c r="U291" s="365"/>
      <c r="V291" s="365"/>
    </row>
    <row r="292" spans="1:22" ht="21.75" hidden="1" x14ac:dyDescent="0.25">
      <c r="A292" s="365"/>
      <c r="B292" s="365"/>
      <c r="C292" s="273">
        <v>214</v>
      </c>
      <c r="D292" s="392">
        <f>VLOOKUP(Tabla132[[#This Row],[Código INDRA]],Tabla13[[Código Indra]:[ID2]],24,FALSE)</f>
        <v>418</v>
      </c>
      <c r="E292" s="394"/>
      <c r="F292" s="393">
        <v>45614</v>
      </c>
      <c r="G292" s="273" t="s">
        <v>1041</v>
      </c>
      <c r="H292" s="275" t="s">
        <v>1042</v>
      </c>
      <c r="I292" s="273" t="s">
        <v>3327</v>
      </c>
      <c r="J292" s="273" t="str">
        <f>VLOOKUP(Tabla132[[#This Row],[Código INDRA]],Tabla13[[Código Indra]:[ID2]],8,FALSE)</f>
        <v>funtaru</v>
      </c>
      <c r="K292" s="273" t="s">
        <v>3338</v>
      </c>
      <c r="L292" s="275" t="s">
        <v>1894</v>
      </c>
      <c r="M292" s="408" t="s">
        <v>1838</v>
      </c>
      <c r="N292" s="273"/>
      <c r="O292" s="385" t="s">
        <v>6</v>
      </c>
      <c r="P292" s="385"/>
      <c r="Q292" s="365"/>
      <c r="R292" s="365"/>
      <c r="S292" s="365"/>
      <c r="T292" s="365"/>
      <c r="U292" s="365"/>
      <c r="V292" s="365"/>
    </row>
    <row r="293" spans="1:22" ht="21.75" hidden="1" x14ac:dyDescent="0.25">
      <c r="A293" s="365"/>
      <c r="B293" s="365"/>
      <c r="C293" s="273">
        <v>215</v>
      </c>
      <c r="D293" s="392">
        <f>VLOOKUP(Tabla132[[#This Row],[Código INDRA]],Tabla13[[Código Indra]:[ID2]],24,FALSE)</f>
        <v>418</v>
      </c>
      <c r="E293" s="273"/>
      <c r="F293" s="393">
        <v>45614</v>
      </c>
      <c r="G293" s="273" t="s">
        <v>1041</v>
      </c>
      <c r="H293" s="275" t="s">
        <v>1042</v>
      </c>
      <c r="I293" s="273" t="s">
        <v>3300</v>
      </c>
      <c r="J293" s="273" t="str">
        <f>VLOOKUP(Tabla132[[#This Row],[Código INDRA]],Tabla13[[Código Indra]:[ID2]],8,FALSE)</f>
        <v>funtaru</v>
      </c>
      <c r="K293" s="273" t="s">
        <v>1436</v>
      </c>
      <c r="L293" s="275" t="s">
        <v>1894</v>
      </c>
      <c r="M293" s="432" t="s">
        <v>1838</v>
      </c>
      <c r="N293" s="328"/>
      <c r="O293" s="328" t="s">
        <v>6</v>
      </c>
      <c r="P293" s="328"/>
      <c r="Q293" s="365"/>
      <c r="R293" s="365"/>
      <c r="S293" s="365"/>
      <c r="T293" s="365"/>
      <c r="U293" s="365"/>
      <c r="V293" s="365"/>
    </row>
    <row r="294" spans="1:22" ht="43.5" x14ac:dyDescent="0.25">
      <c r="A294" s="365"/>
      <c r="B294" s="365"/>
      <c r="C294" s="273">
        <v>216</v>
      </c>
      <c r="D294" s="392" t="e">
        <f>VLOOKUP(Tabla132[[#This Row],[Código INDRA]],Tabla13[[Código Indra]:[ID2]],24,FALSE)</f>
        <v>#N/A</v>
      </c>
      <c r="E294" s="394"/>
      <c r="F294" s="393"/>
      <c r="G294" s="273" t="s">
        <v>1972</v>
      </c>
      <c r="H294" s="275" t="s">
        <v>441</v>
      </c>
      <c r="I294" s="273"/>
      <c r="J294" s="273" t="e">
        <f>VLOOKUP(Tabla132[[#This Row],[Código INDRA]],Tabla13[[Código Indra]:[ID2]],8,FALSE)</f>
        <v>#N/A</v>
      </c>
      <c r="K294" s="273"/>
      <c r="L294" s="275" t="s">
        <v>1973</v>
      </c>
      <c r="M294" s="408" t="s">
        <v>1974</v>
      </c>
      <c r="N294" s="273"/>
      <c r="O294" s="385"/>
      <c r="P294" s="385"/>
      <c r="Q294" s="365"/>
      <c r="R294" s="365"/>
      <c r="S294" s="365"/>
      <c r="T294" s="365"/>
      <c r="U294" s="365"/>
      <c r="V294" s="365"/>
    </row>
    <row r="295" spans="1:22" ht="43.5" hidden="1" x14ac:dyDescent="0.25">
      <c r="A295" s="365"/>
      <c r="B295" s="365"/>
      <c r="C295" s="273">
        <v>219</v>
      </c>
      <c r="D295" s="392">
        <f>VLOOKUP(Tabla132[[#This Row],[Código INDRA]],Tabla13[[Código Indra]:[ID2]],24,FALSE)</f>
        <v>60</v>
      </c>
      <c r="E295" s="273"/>
      <c r="F295" s="393"/>
      <c r="G295" s="273" t="s">
        <v>407</v>
      </c>
      <c r="H295" s="275" t="s">
        <v>408</v>
      </c>
      <c r="I295" s="273"/>
      <c r="J295" s="273" t="str">
        <f>VLOOKUP(Tabla132[[#This Row],[Código INDRA]],Tabla13[[Código Indra]:[ID2]],8,FALSE)</f>
        <v>mgomez</v>
      </c>
      <c r="K295" s="273" t="s">
        <v>1436</v>
      </c>
      <c r="L295" s="275" t="s">
        <v>1698</v>
      </c>
      <c r="M295" s="408" t="s">
        <v>1699</v>
      </c>
      <c r="N295" s="328"/>
      <c r="O295" s="328"/>
      <c r="P295" s="328"/>
      <c r="Q295" s="365"/>
      <c r="R295" s="365"/>
      <c r="S295" s="365"/>
      <c r="T295" s="365"/>
      <c r="U295" s="365"/>
      <c r="V295" s="365"/>
    </row>
    <row r="296" spans="1:22" ht="43.5" hidden="1" x14ac:dyDescent="0.25">
      <c r="A296" s="365"/>
      <c r="B296" s="365"/>
      <c r="C296" s="273">
        <v>220</v>
      </c>
      <c r="D296" s="392">
        <f>VLOOKUP(Tabla132[[#This Row],[Código INDRA]],Tabla13[[Código Indra]:[ID2]],24,FALSE)</f>
        <v>74</v>
      </c>
      <c r="E296" s="394"/>
      <c r="F296" s="393"/>
      <c r="G296" s="273" t="s">
        <v>611</v>
      </c>
      <c r="H296" s="275" t="s">
        <v>612</v>
      </c>
      <c r="I296" s="273"/>
      <c r="J296" s="273" t="str">
        <f>VLOOKUP(Tabla132[[#This Row],[Código INDRA]],Tabla13[[Código Indra]:[ID2]],8,FALSE)</f>
        <v>jgdelapena</v>
      </c>
      <c r="K296" s="273" t="s">
        <v>1436</v>
      </c>
      <c r="L296" s="275" t="s">
        <v>1722</v>
      </c>
      <c r="M296" s="408" t="s">
        <v>1723</v>
      </c>
      <c r="N296" s="273"/>
      <c r="O296" s="385"/>
      <c r="P296" s="385"/>
      <c r="Q296" s="365"/>
      <c r="R296" s="365"/>
      <c r="S296" s="365"/>
      <c r="T296" s="365"/>
      <c r="U296" s="365"/>
      <c r="V296" s="365"/>
    </row>
    <row r="297" spans="1:22" ht="65.25" hidden="1" x14ac:dyDescent="0.25">
      <c r="A297" s="365"/>
      <c r="B297" s="365"/>
      <c r="C297" s="273">
        <v>217</v>
      </c>
      <c r="D297" s="392" t="e">
        <f>VLOOKUP(Tabla132[[#This Row],[Código INDRA]],Tabla13[[Código Indra]:[ID2]],24,FALSE)</f>
        <v>#N/A</v>
      </c>
      <c r="E297" s="273"/>
      <c r="F297" s="393">
        <v>45596</v>
      </c>
      <c r="G297" s="273" t="s">
        <v>1979</v>
      </c>
      <c r="H297" s="275" t="s">
        <v>1980</v>
      </c>
      <c r="I297" s="273" t="s">
        <v>3327</v>
      </c>
      <c r="J297" s="273" t="e">
        <f>VLOOKUP(Tabla132[[#This Row],[Código INDRA]],Tabla13[[Código Indra]:[ID2]],8,FALSE)</f>
        <v>#N/A</v>
      </c>
      <c r="K297" s="273" t="s">
        <v>1436</v>
      </c>
      <c r="L297" s="275" t="s">
        <v>1981</v>
      </c>
      <c r="M297" s="431" t="s">
        <v>1982</v>
      </c>
      <c r="N297" s="328"/>
      <c r="O297" s="328" t="s">
        <v>6</v>
      </c>
      <c r="P297" s="328"/>
      <c r="Q297" s="365"/>
      <c r="R297" s="365"/>
      <c r="S297" s="365"/>
      <c r="T297" s="365"/>
      <c r="U297" s="365"/>
      <c r="V297" s="365"/>
    </row>
    <row r="298" spans="1:22" ht="87" hidden="1" x14ac:dyDescent="0.25">
      <c r="A298" s="365"/>
      <c r="B298" s="365"/>
      <c r="C298" s="273">
        <v>222</v>
      </c>
      <c r="D298" s="392">
        <f>VLOOKUP(Tabla132[[#This Row],[Código INDRA]],Tabla13[[Código Indra]:[ID2]],24,FALSE)</f>
        <v>115</v>
      </c>
      <c r="E298" s="394"/>
      <c r="F298" s="393"/>
      <c r="G298" s="273" t="s">
        <v>1783</v>
      </c>
      <c r="H298" s="275" t="s">
        <v>620</v>
      </c>
      <c r="I298" s="273"/>
      <c r="J298" s="273" t="str">
        <f>VLOOKUP(Tabla132[[#This Row],[Código INDRA]],Tabla13[[Código Indra]:[ID2]],8,FALSE)</f>
        <v>jgdelapena</v>
      </c>
      <c r="K298" s="273" t="s">
        <v>1436</v>
      </c>
      <c r="L298" s="275" t="s">
        <v>1784</v>
      </c>
      <c r="M298" s="408" t="s">
        <v>1785</v>
      </c>
      <c r="N298" s="273"/>
      <c r="O298" s="385"/>
      <c r="P298" s="385"/>
      <c r="Q298" s="365"/>
      <c r="R298" s="365"/>
      <c r="S298" s="365"/>
      <c r="T298" s="365"/>
      <c r="U298" s="365"/>
      <c r="V298" s="365"/>
    </row>
    <row r="299" spans="1:22" ht="108.75" hidden="1" x14ac:dyDescent="0.25">
      <c r="A299" s="365"/>
      <c r="B299" s="365"/>
      <c r="C299" s="273">
        <v>223</v>
      </c>
      <c r="D299" s="392">
        <f>VLOOKUP(Tabla132[[#This Row],[Código INDRA]],Tabla13[[Código Indra]:[ID2]],24,FALSE)</f>
        <v>327</v>
      </c>
      <c r="E299" s="273"/>
      <c r="F299" s="393"/>
      <c r="G299" s="273" t="s">
        <v>1865</v>
      </c>
      <c r="H299" s="275" t="s">
        <v>961</v>
      </c>
      <c r="I299" s="273"/>
      <c r="J299" s="273" t="str">
        <f>VLOOKUP(Tabla132[[#This Row],[Código INDRA]],Tabla13[[Código Indra]:[ID2]],8,FALSE)</f>
        <v>mgomez</v>
      </c>
      <c r="K299" s="273" t="s">
        <v>1436</v>
      </c>
      <c r="L299" s="275" t="s">
        <v>1866</v>
      </c>
      <c r="M299" s="417" t="s">
        <v>1867</v>
      </c>
      <c r="N299" s="328"/>
      <c r="O299" s="328"/>
      <c r="P299" s="328"/>
      <c r="Q299" s="365"/>
      <c r="R299" s="365"/>
      <c r="S299" s="365"/>
      <c r="T299" s="365"/>
      <c r="U299" s="365"/>
      <c r="V299" s="365"/>
    </row>
    <row r="300" spans="1:22" ht="87" hidden="1" x14ac:dyDescent="0.25">
      <c r="A300" s="365"/>
      <c r="B300" s="365"/>
      <c r="C300" s="273">
        <v>224</v>
      </c>
      <c r="D300" s="392">
        <f>VLOOKUP(Tabla132[[#This Row],[Código INDRA]],Tabla13[[Código Indra]:[ID2]],24,FALSE)</f>
        <v>484</v>
      </c>
      <c r="E300" s="394"/>
      <c r="F300" s="393"/>
      <c r="G300" s="273" t="s">
        <v>855</v>
      </c>
      <c r="H300" s="275" t="s">
        <v>116</v>
      </c>
      <c r="I300" s="273"/>
      <c r="J300" s="273" t="str">
        <f>VLOOKUP(Tabla132[[#This Row],[Código INDRA]],Tabla13[[Código Indra]:[ID2]],8,FALSE)</f>
        <v>adalvarezm</v>
      </c>
      <c r="K300" s="273" t="s">
        <v>1436</v>
      </c>
      <c r="L300" s="275" t="s">
        <v>1866</v>
      </c>
      <c r="M300" s="417" t="s">
        <v>1918</v>
      </c>
      <c r="N300" s="273"/>
      <c r="O300" s="385"/>
      <c r="P300" s="385"/>
      <c r="Q300" s="365"/>
      <c r="R300" s="365"/>
      <c r="S300" s="365"/>
      <c r="T300" s="365"/>
      <c r="U300" s="365"/>
      <c r="V300" s="365"/>
    </row>
    <row r="301" spans="1:22" ht="21.75" x14ac:dyDescent="0.25">
      <c r="A301" s="365"/>
      <c r="B301" s="365"/>
      <c r="C301" s="273">
        <v>218</v>
      </c>
      <c r="D301" s="392" t="e">
        <f>VLOOKUP(Tabla132[[#This Row],[Código INDRA]],Tabla13[[Código Indra]:[ID2]],24,FALSE)</f>
        <v>#N/A</v>
      </c>
      <c r="E301" s="429"/>
      <c r="F301" s="393">
        <v>45698</v>
      </c>
      <c r="G301" s="273" t="s">
        <v>209</v>
      </c>
      <c r="H301" s="275" t="s">
        <v>210</v>
      </c>
      <c r="I301" s="273"/>
      <c r="J301" s="273" t="e">
        <f>VLOOKUP(Tabla132[[#This Row],[Código INDRA]],Tabla13[[Código Indra]:[ID2]],8,FALSE)</f>
        <v>#N/A</v>
      </c>
      <c r="K301" s="273"/>
      <c r="L301" s="275" t="s">
        <v>1874</v>
      </c>
      <c r="M301" s="436" t="s">
        <v>1838</v>
      </c>
      <c r="N301" s="273"/>
      <c r="O301" s="273" t="s">
        <v>6</v>
      </c>
      <c r="P301" s="273"/>
      <c r="Q301" s="365"/>
      <c r="R301" s="365"/>
      <c r="S301" s="365"/>
      <c r="T301" s="365"/>
      <c r="U301" s="365"/>
      <c r="V301" s="365"/>
    </row>
    <row r="302" spans="1:22" ht="217.5" hidden="1" x14ac:dyDescent="0.25">
      <c r="A302" s="365"/>
      <c r="B302" s="365"/>
      <c r="C302" s="273">
        <v>232</v>
      </c>
      <c r="D302" s="392" t="e">
        <f>VLOOKUP(Tabla132[[#This Row],[Código INDRA]],Tabla13[[Código Indra]:[ID2]],24,FALSE)</f>
        <v>#N/A</v>
      </c>
      <c r="E302" s="394"/>
      <c r="F302" s="393"/>
      <c r="G302" s="330" t="s">
        <v>1983</v>
      </c>
      <c r="H302" s="275" t="s">
        <v>906</v>
      </c>
      <c r="I302" s="273" t="s">
        <v>3290</v>
      </c>
      <c r="J302" s="273" t="s">
        <v>3341</v>
      </c>
      <c r="K302" s="273" t="s">
        <v>1436</v>
      </c>
      <c r="L302" s="275" t="s">
        <v>1984</v>
      </c>
      <c r="M302" s="433" t="s">
        <v>1985</v>
      </c>
      <c r="N302" s="273"/>
      <c r="O302" s="385"/>
      <c r="P302" s="385"/>
      <c r="Q302" s="365"/>
      <c r="R302" s="365"/>
      <c r="S302" s="365"/>
      <c r="T302" s="365"/>
      <c r="U302" s="365"/>
      <c r="V302" s="365"/>
    </row>
    <row r="303" spans="1:22" ht="21.75" x14ac:dyDescent="0.25">
      <c r="A303" s="365"/>
      <c r="B303" s="365"/>
      <c r="C303" s="273"/>
      <c r="D303" s="392"/>
      <c r="E303" s="273"/>
      <c r="F303" s="393"/>
      <c r="G303" s="330"/>
      <c r="H303" s="275"/>
      <c r="I303" s="273"/>
      <c r="J303" s="273"/>
      <c r="K303" s="273"/>
      <c r="L303" s="275"/>
      <c r="M303" s="435"/>
      <c r="N303" s="328"/>
      <c r="O303" s="328"/>
      <c r="P303" s="328"/>
    </row>
    <row r="304" spans="1:22" ht="43.5" hidden="1" x14ac:dyDescent="0.25">
      <c r="A304" s="365"/>
      <c r="B304" s="365"/>
      <c r="C304" s="273">
        <v>228</v>
      </c>
      <c r="D304" s="392">
        <f>VLOOKUP(Tabla132[[#This Row],[Código INDRA]],Tabla13[[Código Indra]:[ID2]],24,FALSE)</f>
        <v>195</v>
      </c>
      <c r="E304" s="394"/>
      <c r="F304" s="393"/>
      <c r="G304" s="273" t="s">
        <v>49</v>
      </c>
      <c r="H304" s="275" t="s">
        <v>50</v>
      </c>
      <c r="I304" s="273"/>
      <c r="J304" s="273"/>
      <c r="K304" s="273" t="s">
        <v>1436</v>
      </c>
      <c r="L304" s="275" t="s">
        <v>1833</v>
      </c>
      <c r="M304" s="417" t="s">
        <v>1834</v>
      </c>
      <c r="N304" s="273"/>
      <c r="O304" s="385"/>
      <c r="P304" s="385"/>
    </row>
    <row r="305" spans="1:16" ht="21.75" x14ac:dyDescent="0.25">
      <c r="A305" s="365"/>
      <c r="B305" s="365"/>
      <c r="C305" s="273"/>
      <c r="D305" s="392"/>
      <c r="E305" s="429"/>
      <c r="F305" s="393"/>
      <c r="G305" s="273"/>
      <c r="H305" s="275"/>
      <c r="I305" s="273"/>
      <c r="J305" s="273"/>
      <c r="K305" s="273"/>
      <c r="L305" s="275"/>
      <c r="M305" s="434"/>
      <c r="N305" s="273"/>
      <c r="O305" s="273"/>
      <c r="P305" s="273"/>
    </row>
    <row r="306" spans="1:16" ht="108.75" hidden="1" x14ac:dyDescent="0.25">
      <c r="A306" s="365"/>
      <c r="B306" s="365"/>
      <c r="C306" s="273">
        <v>230</v>
      </c>
      <c r="D306" s="392">
        <f>VLOOKUP(Tabla132[[#This Row],[Código INDRA]],Tabla13[[Código Indra]:[ID2]],24,FALSE)</f>
        <v>195</v>
      </c>
      <c r="E306" s="394"/>
      <c r="F306" s="393"/>
      <c r="G306" s="273" t="s">
        <v>49</v>
      </c>
      <c r="H306" s="275" t="s">
        <v>50</v>
      </c>
      <c r="I306" s="273"/>
      <c r="J306" s="273"/>
      <c r="K306" s="273" t="s">
        <v>1436</v>
      </c>
      <c r="L306" s="275" t="s">
        <v>1835</v>
      </c>
      <c r="M306" s="417" t="s">
        <v>1836</v>
      </c>
      <c r="N306" s="273"/>
      <c r="O306" s="385"/>
      <c r="P306" s="385"/>
    </row>
    <row r="307" spans="1:16" ht="130.5" hidden="1" x14ac:dyDescent="0.25">
      <c r="A307" s="365"/>
      <c r="B307" s="365"/>
      <c r="C307" s="273">
        <v>231</v>
      </c>
      <c r="D307" s="392">
        <f>VLOOKUP(Tabla132[[#This Row],[Código INDRA]],Tabla13[[Código Indra]:[ID2]],24,FALSE)</f>
        <v>195</v>
      </c>
      <c r="E307" s="273"/>
      <c r="F307" s="393"/>
      <c r="G307" s="273" t="s">
        <v>49</v>
      </c>
      <c r="H307" s="275" t="s">
        <v>50</v>
      </c>
      <c r="I307" s="273"/>
      <c r="J307" s="273"/>
      <c r="K307" s="273" t="s">
        <v>1436</v>
      </c>
      <c r="L307" s="275" t="s">
        <v>1837</v>
      </c>
      <c r="M307" s="410" t="s">
        <v>1838</v>
      </c>
      <c r="N307" s="328"/>
      <c r="O307" s="328"/>
      <c r="P307" s="328"/>
    </row>
    <row r="308" spans="1:16" ht="219.6" customHeight="1" x14ac:dyDescent="0.25">
      <c r="C308" s="273"/>
      <c r="D308" s="392"/>
      <c r="E308" s="430"/>
      <c r="F308" s="393"/>
      <c r="G308" s="273"/>
      <c r="H308" s="275"/>
      <c r="I308" s="273"/>
      <c r="J308" s="273"/>
      <c r="K308" s="273"/>
      <c r="L308" s="275"/>
      <c r="M308" s="434"/>
      <c r="N308" s="328"/>
      <c r="O308" s="437"/>
      <c r="P308" s="437"/>
    </row>
    <row r="309" spans="1:16" x14ac:dyDescent="0.25">
      <c r="E309"/>
    </row>
    <row r="310" spans="1:16" x14ac:dyDescent="0.25">
      <c r="E310"/>
    </row>
    <row r="311" spans="1:16" x14ac:dyDescent="0.25">
      <c r="E311"/>
    </row>
    <row r="312" spans="1:16" x14ac:dyDescent="0.25">
      <c r="E312"/>
    </row>
    <row r="313" spans="1:16" x14ac:dyDescent="0.25">
      <c r="E313"/>
    </row>
    <row r="314" spans="1:16" x14ac:dyDescent="0.25">
      <c r="E314"/>
    </row>
    <row r="315" spans="1:16" x14ac:dyDescent="0.25">
      <c r="E315"/>
    </row>
    <row r="316" spans="1:16" x14ac:dyDescent="0.25">
      <c r="E316"/>
    </row>
    <row r="317" spans="1:16" x14ac:dyDescent="0.25">
      <c r="E317"/>
    </row>
    <row r="318" spans="1:16" x14ac:dyDescent="0.25">
      <c r="E318"/>
    </row>
    <row r="319" spans="1:16" x14ac:dyDescent="0.25">
      <c r="E319"/>
    </row>
    <row r="320" spans="1:16"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ht="15" customHeight="1" x14ac:dyDescent="0.25">
      <c r="E611"/>
    </row>
  </sheetData>
  <mergeCells count="1">
    <mergeCell ref="I2:J2"/>
  </mergeCells>
  <conditionalFormatting sqref="N8:N1048576">
    <cfRule type="beginsWith" dxfId="117" priority="102" operator="beginsWith" text="Parada:">
      <formula>LEFT(N8,LEN("Parada:"))="Parada:"</formula>
    </cfRule>
    <cfRule type="beginsWith" dxfId="116" priority="103" operator="beginsWith" text="Calidad">
      <formula>LEFT(N8,LEN("Calidad"))="Calidad"</formula>
    </cfRule>
    <cfRule type="beginsWith" dxfId="115" priority="104" operator="beginsWith" text="Control Producción">
      <formula>LEFT(N8,LEN("Control Producción"))="Control Producción"</formula>
    </cfRule>
    <cfRule type="beginsWith" dxfId="114" priority="105" operator="beginsWith" text="Montaje">
      <formula>LEFT(N8,LEN("Montaje"))="Montaje"</formula>
    </cfRule>
    <cfRule type="beginsWith" dxfId="113" priority="106" operator="beginsWith" text="Finalizada">
      <formula>LEFT(N8,LEN("Finalizada"))="Finalizada"</formula>
    </cfRule>
    <cfRule type="beginsWith" dxfId="112" priority="107" operator="beginsWith" text="Calidad NO OK">
      <formula>LEFT(N8,LEN("Calidad NO OK"))="Calidad NO OK"</formula>
    </cfRule>
    <cfRule type="beginsWith" dxfId="111" priority="108" operator="beginsWith" text="Sin Stock">
      <formula>LEFT(N8,LEN("Sin Stock"))="Sin Stock"</formula>
    </cfRule>
    <cfRule type="beginsWith" dxfId="110" priority="109" operator="beginsWith" text="Ingenieria">
      <formula>LEFT(N8,LEN("Ingenieria"))="Ingenieria"</formula>
    </cfRule>
  </conditionalFormatting>
  <conditionalFormatting sqref="R303:R1048576">
    <cfRule type="beginsWith" dxfId="109" priority="100" operator="beginsWith" text="Disponible">
      <formula>LEFT(R303,LEN("Disponible"))="Disponible"</formula>
    </cfRule>
    <cfRule type="beginsWith" dxfId="108" priority="101" operator="beginsWith" text="No Disponible">
      <formula>LEFT(R303,LEN("No Disponible"))="No Disponible"</formula>
    </cfRule>
  </conditionalFormatting>
  <conditionalFormatting sqref="N8:N308">
    <cfRule type="containsText" dxfId="107" priority="91" operator="containsText" text="CANCELADA">
      <formula>NOT(ISERROR(SEARCH("CANCELADA",N8)))</formula>
    </cfRule>
  </conditionalFormatting>
  <conditionalFormatting sqref="M150">
    <cfRule type="beginsWith" dxfId="106" priority="83" operator="beginsWith" text="Parada:">
      <formula>LEFT(M150,LEN("Parada:"))="Parada:"</formula>
    </cfRule>
    <cfRule type="beginsWith" dxfId="105" priority="84" operator="beginsWith" text="Calidad">
      <formula>LEFT(M150,LEN("Calidad"))="Calidad"</formula>
    </cfRule>
    <cfRule type="beginsWith" dxfId="104" priority="85" operator="beginsWith" text="Control Producción">
      <formula>LEFT(M150,LEN("Control Producción"))="Control Producción"</formula>
    </cfRule>
    <cfRule type="beginsWith" dxfId="103" priority="86" operator="beginsWith" text="Montaje">
      <formula>LEFT(M150,LEN("Montaje"))="Montaje"</formula>
    </cfRule>
    <cfRule type="beginsWith" dxfId="102" priority="87" operator="beginsWith" text="Finalizada">
      <formula>LEFT(M150,LEN("Finalizada"))="Finalizada"</formula>
    </cfRule>
    <cfRule type="beginsWith" dxfId="101" priority="88" operator="beginsWith" text="Calidad NO OK">
      <formula>LEFT(M150,LEN("Calidad NO OK"))="Calidad NO OK"</formula>
    </cfRule>
    <cfRule type="beginsWith" dxfId="100" priority="89" operator="beginsWith" text="Sin Stock">
      <formula>LEFT(M150,LEN("Sin Stock"))="Sin Stock"</formula>
    </cfRule>
    <cfRule type="beginsWith" dxfId="99" priority="90" operator="beginsWith" text="Ingenieria">
      <formula>LEFT(M150,LEN("Ingenieria"))="Ingenieria"</formula>
    </cfRule>
  </conditionalFormatting>
  <conditionalFormatting sqref="M150">
    <cfRule type="containsText" dxfId="98" priority="82" operator="containsText" text="CANCELADA">
      <formula>NOT(ISERROR(SEARCH("CANCELADA",M150)))</formula>
    </cfRule>
  </conditionalFormatting>
  <conditionalFormatting sqref="M152">
    <cfRule type="beginsWith" dxfId="97" priority="74" operator="beginsWith" text="Parada:">
      <formula>LEFT(M152,LEN("Parada:"))="Parada:"</formula>
    </cfRule>
    <cfRule type="beginsWith" dxfId="96" priority="75" operator="beginsWith" text="Calidad">
      <formula>LEFT(M152,LEN("Calidad"))="Calidad"</formula>
    </cfRule>
    <cfRule type="beginsWith" dxfId="95" priority="76" operator="beginsWith" text="Control Producción">
      <formula>LEFT(M152,LEN("Control Producción"))="Control Producción"</formula>
    </cfRule>
    <cfRule type="beginsWith" dxfId="94" priority="77" operator="beginsWith" text="Montaje">
      <formula>LEFT(M152,LEN("Montaje"))="Montaje"</formula>
    </cfRule>
    <cfRule type="beginsWith" dxfId="93" priority="78" operator="beginsWith" text="Finalizada">
      <formula>LEFT(M152,LEN("Finalizada"))="Finalizada"</formula>
    </cfRule>
    <cfRule type="beginsWith" dxfId="92" priority="79" operator="beginsWith" text="Calidad NO OK">
      <formula>LEFT(M152,LEN("Calidad NO OK"))="Calidad NO OK"</formula>
    </cfRule>
    <cfRule type="beginsWith" dxfId="91" priority="80" operator="beginsWith" text="Sin Stock">
      <formula>LEFT(M152,LEN("Sin Stock"))="Sin Stock"</formula>
    </cfRule>
    <cfRule type="beginsWith" dxfId="90" priority="81" operator="beginsWith" text="Ingenieria">
      <formula>LEFT(M152,LEN("Ingenieria"))="Ingenieria"</formula>
    </cfRule>
  </conditionalFormatting>
  <conditionalFormatting sqref="M152">
    <cfRule type="containsText" dxfId="89" priority="73" operator="containsText" text="CANCELADA">
      <formula>NOT(ISERROR(SEARCH("CANCELADA",M152)))</formula>
    </cfRule>
  </conditionalFormatting>
  <conditionalFormatting sqref="M168">
    <cfRule type="beginsWith" dxfId="88" priority="65" operator="beginsWith" text="Parada:">
      <formula>LEFT(M168,LEN("Parada:"))="Parada:"</formula>
    </cfRule>
    <cfRule type="beginsWith" dxfId="87" priority="66" operator="beginsWith" text="Calidad">
      <formula>LEFT(M168,LEN("Calidad"))="Calidad"</formula>
    </cfRule>
    <cfRule type="beginsWith" dxfId="86" priority="67" operator="beginsWith" text="Control Producción">
      <formula>LEFT(M168,LEN("Control Producción"))="Control Producción"</formula>
    </cfRule>
    <cfRule type="beginsWith" dxfId="85" priority="68" operator="beginsWith" text="Montaje">
      <formula>LEFT(M168,LEN("Montaje"))="Montaje"</formula>
    </cfRule>
    <cfRule type="beginsWith" dxfId="84" priority="69" operator="beginsWith" text="Finalizada">
      <formula>LEFT(M168,LEN("Finalizada"))="Finalizada"</formula>
    </cfRule>
    <cfRule type="beginsWith" dxfId="83" priority="70" operator="beginsWith" text="Calidad NO OK">
      <formula>LEFT(M168,LEN("Calidad NO OK"))="Calidad NO OK"</formula>
    </cfRule>
    <cfRule type="beginsWith" dxfId="82" priority="71" operator="beginsWith" text="Sin Stock">
      <formula>LEFT(M168,LEN("Sin Stock"))="Sin Stock"</formula>
    </cfRule>
    <cfRule type="beginsWith" dxfId="81" priority="72" operator="beginsWith" text="Ingenieria">
      <formula>LEFT(M168,LEN("Ingenieria"))="Ingenieria"</formula>
    </cfRule>
  </conditionalFormatting>
  <conditionalFormatting sqref="M168">
    <cfRule type="containsText" dxfId="80" priority="64" operator="containsText" text="CANCELADA">
      <formula>NOT(ISERROR(SEARCH("CANCELADA",M168)))</formula>
    </cfRule>
  </conditionalFormatting>
  <conditionalFormatting sqref="M213">
    <cfRule type="beginsWith" dxfId="79" priority="56" operator="beginsWith" text="Parada:">
      <formula>LEFT(M213,LEN("Parada:"))="Parada:"</formula>
    </cfRule>
    <cfRule type="beginsWith" dxfId="78" priority="57" operator="beginsWith" text="Calidad">
      <formula>LEFT(M213,LEN("Calidad"))="Calidad"</formula>
    </cfRule>
    <cfRule type="beginsWith" dxfId="77" priority="58" operator="beginsWith" text="Control Producción">
      <formula>LEFT(M213,LEN("Control Producción"))="Control Producción"</formula>
    </cfRule>
    <cfRule type="beginsWith" dxfId="76" priority="59" operator="beginsWith" text="Montaje">
      <formula>LEFT(M213,LEN("Montaje"))="Montaje"</formula>
    </cfRule>
    <cfRule type="beginsWith" dxfId="75" priority="60" operator="beginsWith" text="Finalizada">
      <formula>LEFT(M213,LEN("Finalizada"))="Finalizada"</formula>
    </cfRule>
    <cfRule type="beginsWith" dxfId="74" priority="61" operator="beginsWith" text="Calidad NO OK">
      <formula>LEFT(M213,LEN("Calidad NO OK"))="Calidad NO OK"</formula>
    </cfRule>
    <cfRule type="beginsWith" dxfId="73" priority="62" operator="beginsWith" text="Sin Stock">
      <formula>LEFT(M213,LEN("Sin Stock"))="Sin Stock"</formula>
    </cfRule>
    <cfRule type="beginsWith" dxfId="72" priority="63" operator="beginsWith" text="Ingenieria">
      <formula>LEFT(M213,LEN("Ingenieria"))="Ingenieria"</formula>
    </cfRule>
  </conditionalFormatting>
  <conditionalFormatting sqref="M213">
    <cfRule type="containsText" dxfId="71" priority="55" operator="containsText" text="CANCELADA">
      <formula>NOT(ISERROR(SEARCH("CANCELADA",M213)))</formula>
    </cfRule>
  </conditionalFormatting>
  <conditionalFormatting sqref="M197">
    <cfRule type="beginsWith" dxfId="70" priority="47" operator="beginsWith" text="Parada:">
      <formula>LEFT(M197,LEN("Parada:"))="Parada:"</formula>
    </cfRule>
    <cfRule type="beginsWith" dxfId="69" priority="48" operator="beginsWith" text="Calidad">
      <formula>LEFT(M197,LEN("Calidad"))="Calidad"</formula>
    </cfRule>
    <cfRule type="beginsWith" dxfId="68" priority="49" operator="beginsWith" text="Control Producción">
      <formula>LEFT(M197,LEN("Control Producción"))="Control Producción"</formula>
    </cfRule>
    <cfRule type="beginsWith" dxfId="67" priority="50" operator="beginsWith" text="Montaje">
      <formula>LEFT(M197,LEN("Montaje"))="Montaje"</formula>
    </cfRule>
    <cfRule type="beginsWith" dxfId="66" priority="51" operator="beginsWith" text="Finalizada">
      <formula>LEFT(M197,LEN("Finalizada"))="Finalizada"</formula>
    </cfRule>
    <cfRule type="beginsWith" dxfId="65" priority="52" operator="beginsWith" text="Calidad NO OK">
      <formula>LEFT(M197,LEN("Calidad NO OK"))="Calidad NO OK"</formula>
    </cfRule>
    <cfRule type="beginsWith" dxfId="64" priority="53" operator="beginsWith" text="Sin Stock">
      <formula>LEFT(M197,LEN("Sin Stock"))="Sin Stock"</formula>
    </cfRule>
    <cfRule type="beginsWith" dxfId="63" priority="54" operator="beginsWith" text="Ingenieria">
      <formula>LEFT(M197,LEN("Ingenieria"))="Ingenieria"</formula>
    </cfRule>
  </conditionalFormatting>
  <conditionalFormatting sqref="M197">
    <cfRule type="containsText" dxfId="62" priority="46" operator="containsText" text="CANCELADA">
      <formula>NOT(ISERROR(SEARCH("CANCELADA",M197)))</formula>
    </cfRule>
  </conditionalFormatting>
  <conditionalFormatting sqref="M205">
    <cfRule type="beginsWith" dxfId="61" priority="38" operator="beginsWith" text="Parada:">
      <formula>LEFT(M205,LEN("Parada:"))="Parada:"</formula>
    </cfRule>
    <cfRule type="beginsWith" dxfId="60" priority="39" operator="beginsWith" text="Calidad">
      <formula>LEFT(M205,LEN("Calidad"))="Calidad"</formula>
    </cfRule>
    <cfRule type="beginsWith" dxfId="59" priority="40" operator="beginsWith" text="Control Producción">
      <formula>LEFT(M205,LEN("Control Producción"))="Control Producción"</formula>
    </cfRule>
    <cfRule type="beginsWith" dxfId="58" priority="41" operator="beginsWith" text="Montaje">
      <formula>LEFT(M205,LEN("Montaje"))="Montaje"</formula>
    </cfRule>
    <cfRule type="beginsWith" dxfId="57" priority="42" operator="beginsWith" text="Finalizada">
      <formula>LEFT(M205,LEN("Finalizada"))="Finalizada"</formula>
    </cfRule>
    <cfRule type="beginsWith" dxfId="56" priority="43" operator="beginsWith" text="Calidad NO OK">
      <formula>LEFT(M205,LEN("Calidad NO OK"))="Calidad NO OK"</formula>
    </cfRule>
    <cfRule type="beginsWith" dxfId="55" priority="44" operator="beginsWith" text="Sin Stock">
      <formula>LEFT(M205,LEN("Sin Stock"))="Sin Stock"</formula>
    </cfRule>
    <cfRule type="beginsWith" dxfId="54" priority="45" operator="beginsWith" text="Ingenieria">
      <formula>LEFT(M205,LEN("Ingenieria"))="Ingenieria"</formula>
    </cfRule>
  </conditionalFormatting>
  <conditionalFormatting sqref="M205">
    <cfRule type="containsText" dxfId="53" priority="37" operator="containsText" text="CANCELADA">
      <formula>NOT(ISERROR(SEARCH("CANCELADA",M205)))</formula>
    </cfRule>
  </conditionalFormatting>
  <conditionalFormatting sqref="M207">
    <cfRule type="beginsWith" dxfId="52" priority="29" operator="beginsWith" text="Parada:">
      <formula>LEFT(M207,LEN("Parada:"))="Parada:"</formula>
    </cfRule>
    <cfRule type="beginsWith" dxfId="51" priority="30" operator="beginsWith" text="Calidad">
      <formula>LEFT(M207,LEN("Calidad"))="Calidad"</formula>
    </cfRule>
    <cfRule type="beginsWith" dxfId="50" priority="31" operator="beginsWith" text="Control Producción">
      <formula>LEFT(M207,LEN("Control Producción"))="Control Producción"</formula>
    </cfRule>
    <cfRule type="beginsWith" dxfId="49" priority="32" operator="beginsWith" text="Montaje">
      <formula>LEFT(M207,LEN("Montaje"))="Montaje"</formula>
    </cfRule>
    <cfRule type="beginsWith" dxfId="48" priority="33" operator="beginsWith" text="Finalizada">
      <formula>LEFT(M207,LEN("Finalizada"))="Finalizada"</formula>
    </cfRule>
    <cfRule type="beginsWith" dxfId="47" priority="34" operator="beginsWith" text="Calidad NO OK">
      <formula>LEFT(M207,LEN("Calidad NO OK"))="Calidad NO OK"</formula>
    </cfRule>
    <cfRule type="beginsWith" dxfId="46" priority="35" operator="beginsWith" text="Sin Stock">
      <formula>LEFT(M207,LEN("Sin Stock"))="Sin Stock"</formula>
    </cfRule>
    <cfRule type="beginsWith" dxfId="45" priority="36" operator="beginsWith" text="Ingenieria">
      <formula>LEFT(M207,LEN("Ingenieria"))="Ingenieria"</formula>
    </cfRule>
  </conditionalFormatting>
  <conditionalFormatting sqref="M207">
    <cfRule type="containsText" dxfId="44" priority="28" operator="containsText" text="CANCELADA">
      <formula>NOT(ISERROR(SEARCH("CANCELADA",M207)))</formula>
    </cfRule>
  </conditionalFormatting>
  <conditionalFormatting sqref="M209">
    <cfRule type="beginsWith" dxfId="43" priority="20" operator="beginsWith" text="Parada:">
      <formula>LEFT(M209,LEN("Parada:"))="Parada:"</formula>
    </cfRule>
    <cfRule type="beginsWith" dxfId="42" priority="21" operator="beginsWith" text="Calidad">
      <formula>LEFT(M209,LEN("Calidad"))="Calidad"</formula>
    </cfRule>
    <cfRule type="beginsWith" dxfId="41" priority="22" operator="beginsWith" text="Control Producción">
      <formula>LEFT(M209,LEN("Control Producción"))="Control Producción"</formula>
    </cfRule>
    <cfRule type="beginsWith" dxfId="40" priority="23" operator="beginsWith" text="Montaje">
      <formula>LEFT(M209,LEN("Montaje"))="Montaje"</formula>
    </cfRule>
    <cfRule type="beginsWith" dxfId="39" priority="24" operator="beginsWith" text="Finalizada">
      <formula>LEFT(M209,LEN("Finalizada"))="Finalizada"</formula>
    </cfRule>
    <cfRule type="beginsWith" dxfId="38" priority="25" operator="beginsWith" text="Calidad NO OK">
      <formula>LEFT(M209,LEN("Calidad NO OK"))="Calidad NO OK"</formula>
    </cfRule>
    <cfRule type="beginsWith" dxfId="37" priority="26" operator="beginsWith" text="Sin Stock">
      <formula>LEFT(M209,LEN("Sin Stock"))="Sin Stock"</formula>
    </cfRule>
    <cfRule type="beginsWith" dxfId="36" priority="27" operator="beginsWith" text="Ingenieria">
      <formula>LEFT(M209,LEN("Ingenieria"))="Ingenieria"</formula>
    </cfRule>
  </conditionalFormatting>
  <conditionalFormatting sqref="M209">
    <cfRule type="containsText" dxfId="35" priority="19" operator="containsText" text="CANCELADA">
      <formula>NOT(ISERROR(SEARCH("CANCELADA",M209)))</formula>
    </cfRule>
  </conditionalFormatting>
  <conditionalFormatting sqref="M211">
    <cfRule type="beginsWith" dxfId="34" priority="11" operator="beginsWith" text="Parada:">
      <formula>LEFT(M211,LEN("Parada:"))="Parada:"</formula>
    </cfRule>
    <cfRule type="beginsWith" dxfId="33" priority="12" operator="beginsWith" text="Calidad">
      <formula>LEFT(M211,LEN("Calidad"))="Calidad"</formula>
    </cfRule>
    <cfRule type="beginsWith" dxfId="32" priority="13" operator="beginsWith" text="Control Producción">
      <formula>LEFT(M211,LEN("Control Producción"))="Control Producción"</formula>
    </cfRule>
    <cfRule type="beginsWith" dxfId="31" priority="14" operator="beginsWith" text="Montaje">
      <formula>LEFT(M211,LEN("Montaje"))="Montaje"</formula>
    </cfRule>
    <cfRule type="beginsWith" dxfId="30" priority="15" operator="beginsWith" text="Finalizada">
      <formula>LEFT(M211,LEN("Finalizada"))="Finalizada"</formula>
    </cfRule>
    <cfRule type="beginsWith" dxfId="29" priority="16" operator="beginsWith" text="Calidad NO OK">
      <formula>LEFT(M211,LEN("Calidad NO OK"))="Calidad NO OK"</formula>
    </cfRule>
    <cfRule type="beginsWith" dxfId="28" priority="17" operator="beginsWith" text="Sin Stock">
      <formula>LEFT(M211,LEN("Sin Stock"))="Sin Stock"</formula>
    </cfRule>
    <cfRule type="beginsWith" dxfId="27" priority="18" operator="beginsWith" text="Ingenieria">
      <formula>LEFT(M211,LEN("Ingenieria"))="Ingenieria"</formula>
    </cfRule>
  </conditionalFormatting>
  <conditionalFormatting sqref="M211">
    <cfRule type="containsText" dxfId="26" priority="10" operator="containsText" text="CANCELADA">
      <formula>NOT(ISERROR(SEARCH("CANCELADA",M211)))</formula>
    </cfRule>
  </conditionalFormatting>
  <conditionalFormatting sqref="M214">
    <cfRule type="beginsWith" dxfId="25" priority="2" operator="beginsWith" text="Parada:">
      <formula>LEFT(M214,LEN("Parada:"))="Parada:"</formula>
    </cfRule>
    <cfRule type="beginsWith" dxfId="24" priority="3" operator="beginsWith" text="Calidad">
      <formula>LEFT(M214,LEN("Calidad"))="Calidad"</formula>
    </cfRule>
    <cfRule type="beginsWith" dxfId="23" priority="4" operator="beginsWith" text="Control Producción">
      <formula>LEFT(M214,LEN("Control Producción"))="Control Producción"</formula>
    </cfRule>
    <cfRule type="beginsWith" dxfId="22" priority="5" operator="beginsWith" text="Montaje">
      <formula>LEFT(M214,LEN("Montaje"))="Montaje"</formula>
    </cfRule>
    <cfRule type="beginsWith" dxfId="21" priority="6" operator="beginsWith" text="Finalizada">
      <formula>LEFT(M214,LEN("Finalizada"))="Finalizada"</formula>
    </cfRule>
    <cfRule type="beginsWith" dxfId="20" priority="7" operator="beginsWith" text="Calidad NO OK">
      <formula>LEFT(M214,LEN("Calidad NO OK"))="Calidad NO OK"</formula>
    </cfRule>
    <cfRule type="beginsWith" dxfId="19" priority="8" operator="beginsWith" text="Sin Stock">
      <formula>LEFT(M214,LEN("Sin Stock"))="Sin Stock"</formula>
    </cfRule>
    <cfRule type="beginsWith" dxfId="18" priority="9" operator="beginsWith" text="Ingenieria">
      <formula>LEFT(M214,LEN("Ingenieria"))="Ingenieria"</formula>
    </cfRule>
  </conditionalFormatting>
  <conditionalFormatting sqref="M214">
    <cfRule type="containsText" dxfId="17" priority="1" operator="containsText" text="CANCELADA">
      <formula>NOT(ISERROR(SEARCH("CANCELADA",M214)))</formula>
    </cfRule>
  </conditionalFormatting>
  <pageMargins left="0.25" right="0.25" top="0.75" bottom="0.75" header="0.3" footer="0.3"/>
  <pageSetup paperSize="9" scale="18" fitToHeight="0"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B75C5-8905-4863-BE48-5EDCF9D349FC}">
  <sheetPr codeName="Hoja6"/>
  <dimension ref="A1:AD102"/>
  <sheetViews>
    <sheetView zoomScale="70" zoomScaleNormal="70" workbookViewId="0">
      <selection sqref="A1:A105"/>
    </sheetView>
  </sheetViews>
  <sheetFormatPr baseColWidth="10" defaultColWidth="11.42578125" defaultRowHeight="15" x14ac:dyDescent="0.25"/>
  <cols>
    <col min="1" max="1" width="18.5703125" customWidth="1"/>
    <col min="7" max="7" width="36.42578125" customWidth="1"/>
  </cols>
  <sheetData>
    <row r="1" spans="1:30" x14ac:dyDescent="0.25">
      <c r="B1" t="s">
        <v>3342</v>
      </c>
      <c r="C1" t="s">
        <v>3343</v>
      </c>
      <c r="D1" t="s">
        <v>3344</v>
      </c>
      <c r="E1" t="s">
        <v>3345</v>
      </c>
      <c r="F1" t="s">
        <v>3346</v>
      </c>
      <c r="G1" t="s">
        <v>3347</v>
      </c>
      <c r="H1" t="s">
        <v>3348</v>
      </c>
      <c r="I1" t="s">
        <v>3349</v>
      </c>
      <c r="J1" t="s">
        <v>3350</v>
      </c>
      <c r="K1" t="s">
        <v>3351</v>
      </c>
      <c r="L1" t="s">
        <v>3352</v>
      </c>
      <c r="M1" t="s">
        <v>3353</v>
      </c>
      <c r="N1" t="s">
        <v>3354</v>
      </c>
      <c r="O1" t="s">
        <v>3355</v>
      </c>
      <c r="P1" t="s">
        <v>3356</v>
      </c>
      <c r="Q1" t="s">
        <v>3357</v>
      </c>
      <c r="R1" t="s">
        <v>3358</v>
      </c>
      <c r="S1" t="s">
        <v>3359</v>
      </c>
      <c r="T1" t="s">
        <v>3360</v>
      </c>
      <c r="U1" t="s">
        <v>3361</v>
      </c>
      <c r="V1" t="s">
        <v>3362</v>
      </c>
      <c r="W1" t="s">
        <v>3363</v>
      </c>
      <c r="X1" t="s">
        <v>3364</v>
      </c>
      <c r="Y1" t="s">
        <v>3365</v>
      </c>
      <c r="Z1" t="s">
        <v>3366</v>
      </c>
      <c r="AA1" t="s">
        <v>3367</v>
      </c>
      <c r="AB1" t="s">
        <v>3368</v>
      </c>
      <c r="AC1" t="s">
        <v>3369</v>
      </c>
      <c r="AD1" t="s">
        <v>3370</v>
      </c>
    </row>
    <row r="2" spans="1:30" x14ac:dyDescent="0.25">
      <c r="A2" s="46" t="s">
        <v>3371</v>
      </c>
      <c r="B2" t="s">
        <v>3372</v>
      </c>
      <c r="C2" t="s">
        <v>3373</v>
      </c>
      <c r="D2" t="s">
        <v>3374</v>
      </c>
      <c r="E2" t="s">
        <v>3375</v>
      </c>
      <c r="F2">
        <v>1</v>
      </c>
      <c r="G2" t="s">
        <v>3376</v>
      </c>
      <c r="H2">
        <v>16</v>
      </c>
      <c r="I2" t="s">
        <v>3377</v>
      </c>
      <c r="J2" t="s">
        <v>3378</v>
      </c>
      <c r="K2" t="s">
        <v>3379</v>
      </c>
      <c r="L2" t="s">
        <v>3380</v>
      </c>
      <c r="M2" t="s">
        <v>3381</v>
      </c>
      <c r="N2" t="s">
        <v>3382</v>
      </c>
      <c r="O2" t="s">
        <v>3383</v>
      </c>
      <c r="P2" t="s">
        <v>3384</v>
      </c>
      <c r="Q2" t="s">
        <v>3385</v>
      </c>
      <c r="R2" t="s">
        <v>3386</v>
      </c>
      <c r="S2" t="s">
        <v>3387</v>
      </c>
      <c r="T2" t="s">
        <v>3388</v>
      </c>
      <c r="U2" t="s">
        <v>3389</v>
      </c>
      <c r="V2" t="s">
        <v>3390</v>
      </c>
      <c r="W2" t="s">
        <v>3389</v>
      </c>
      <c r="X2" t="s">
        <v>3391</v>
      </c>
      <c r="Y2" t="s">
        <v>3392</v>
      </c>
      <c r="Z2" t="s">
        <v>3393</v>
      </c>
      <c r="AA2" t="s">
        <v>3380</v>
      </c>
      <c r="AB2" t="s">
        <v>3380</v>
      </c>
      <c r="AC2" t="s">
        <v>3394</v>
      </c>
      <c r="AD2">
        <v>718588</v>
      </c>
    </row>
    <row r="3" spans="1:30" x14ac:dyDescent="0.25">
      <c r="A3" s="46" t="s">
        <v>172</v>
      </c>
      <c r="B3" t="s">
        <v>3372</v>
      </c>
      <c r="C3" t="s">
        <v>3373</v>
      </c>
      <c r="D3" t="s">
        <v>3395</v>
      </c>
      <c r="E3" t="s">
        <v>3375</v>
      </c>
      <c r="F3">
        <v>2</v>
      </c>
      <c r="G3" t="s">
        <v>3396</v>
      </c>
      <c r="H3">
        <v>16</v>
      </c>
      <c r="I3" t="s">
        <v>3377</v>
      </c>
      <c r="J3" t="s">
        <v>3378</v>
      </c>
      <c r="K3" t="s">
        <v>3397</v>
      </c>
      <c r="L3" t="s">
        <v>3398</v>
      </c>
      <c r="M3" t="s">
        <v>3381</v>
      </c>
      <c r="N3" t="s">
        <v>3382</v>
      </c>
      <c r="O3" t="s">
        <v>3383</v>
      </c>
      <c r="P3" t="s">
        <v>3384</v>
      </c>
      <c r="Q3" t="s">
        <v>3399</v>
      </c>
      <c r="R3" t="s">
        <v>3400</v>
      </c>
      <c r="S3" t="s">
        <v>3387</v>
      </c>
      <c r="T3" t="s">
        <v>3388</v>
      </c>
      <c r="U3" t="s">
        <v>3389</v>
      </c>
      <c r="V3" t="s">
        <v>3401</v>
      </c>
      <c r="W3" t="s">
        <v>3389</v>
      </c>
      <c r="X3" t="s">
        <v>3391</v>
      </c>
      <c r="Y3" t="s">
        <v>3392</v>
      </c>
      <c r="Z3" t="s">
        <v>3402</v>
      </c>
      <c r="AA3" t="s">
        <v>3398</v>
      </c>
      <c r="AB3" t="s">
        <v>3398</v>
      </c>
      <c r="AC3" t="s">
        <v>3403</v>
      </c>
      <c r="AD3">
        <v>718588</v>
      </c>
    </row>
    <row r="4" spans="1:30" x14ac:dyDescent="0.25">
      <c r="A4" s="46" t="s">
        <v>3404</v>
      </c>
      <c r="B4" t="s">
        <v>3372</v>
      </c>
      <c r="C4" t="s">
        <v>3373</v>
      </c>
      <c r="D4" t="s">
        <v>3405</v>
      </c>
      <c r="E4" t="s">
        <v>3375</v>
      </c>
      <c r="F4">
        <v>0</v>
      </c>
      <c r="G4" t="s">
        <v>3406</v>
      </c>
      <c r="H4">
        <v>16</v>
      </c>
      <c r="I4" t="s">
        <v>3377</v>
      </c>
      <c r="J4" t="s">
        <v>3378</v>
      </c>
      <c r="K4" t="s">
        <v>3407</v>
      </c>
      <c r="L4" t="s">
        <v>3408</v>
      </c>
      <c r="M4" t="s">
        <v>3381</v>
      </c>
      <c r="N4" t="s">
        <v>3382</v>
      </c>
      <c r="O4" t="s">
        <v>3383</v>
      </c>
      <c r="P4" t="s">
        <v>3384</v>
      </c>
      <c r="Q4" t="s">
        <v>3409</v>
      </c>
      <c r="R4" t="s">
        <v>3386</v>
      </c>
      <c r="S4" t="s">
        <v>3387</v>
      </c>
      <c r="T4" t="s">
        <v>3388</v>
      </c>
      <c r="U4" t="s">
        <v>3410</v>
      </c>
      <c r="V4" t="s">
        <v>3411</v>
      </c>
      <c r="W4" t="s">
        <v>3412</v>
      </c>
      <c r="X4" t="s">
        <v>3391</v>
      </c>
      <c r="Y4" t="s">
        <v>3392</v>
      </c>
      <c r="Z4" t="s">
        <v>3413</v>
      </c>
      <c r="AA4" t="s">
        <v>3408</v>
      </c>
      <c r="AB4" t="s">
        <v>3408</v>
      </c>
      <c r="AC4" t="s">
        <v>3414</v>
      </c>
      <c r="AD4">
        <v>959261</v>
      </c>
    </row>
    <row r="5" spans="1:30" x14ac:dyDescent="0.25">
      <c r="A5" s="46" t="s">
        <v>3415</v>
      </c>
      <c r="B5" t="s">
        <v>3372</v>
      </c>
      <c r="C5" t="s">
        <v>3373</v>
      </c>
      <c r="D5" t="s">
        <v>3416</v>
      </c>
      <c r="E5" t="s">
        <v>3375</v>
      </c>
      <c r="F5">
        <v>0</v>
      </c>
      <c r="G5" t="s">
        <v>3417</v>
      </c>
      <c r="H5">
        <v>16</v>
      </c>
      <c r="I5" t="s">
        <v>3377</v>
      </c>
      <c r="J5" t="s">
        <v>3378</v>
      </c>
      <c r="K5" t="s">
        <v>3418</v>
      </c>
      <c r="L5" t="s">
        <v>3419</v>
      </c>
      <c r="M5" t="s">
        <v>3381</v>
      </c>
      <c r="N5" t="s">
        <v>3382</v>
      </c>
      <c r="O5" t="s">
        <v>3383</v>
      </c>
      <c r="P5" t="s">
        <v>3384</v>
      </c>
      <c r="Q5" t="s">
        <v>3420</v>
      </c>
      <c r="R5" t="s">
        <v>3386</v>
      </c>
      <c r="S5" t="s">
        <v>3387</v>
      </c>
      <c r="T5" t="s">
        <v>3388</v>
      </c>
      <c r="U5" t="s">
        <v>3410</v>
      </c>
      <c r="V5" t="s">
        <v>3411</v>
      </c>
      <c r="W5" t="s">
        <v>3412</v>
      </c>
      <c r="X5" t="s">
        <v>3391</v>
      </c>
      <c r="Y5" t="s">
        <v>3392</v>
      </c>
      <c r="Z5" t="s">
        <v>3421</v>
      </c>
      <c r="AA5" t="s">
        <v>3419</v>
      </c>
      <c r="AB5" t="s">
        <v>3419</v>
      </c>
      <c r="AC5" t="s">
        <v>3422</v>
      </c>
      <c r="AD5">
        <v>959261</v>
      </c>
    </row>
    <row r="6" spans="1:30" x14ac:dyDescent="0.25">
      <c r="A6" s="46" t="s">
        <v>3423</v>
      </c>
      <c r="B6" t="s">
        <v>3372</v>
      </c>
      <c r="C6" t="s">
        <v>3373</v>
      </c>
      <c r="D6" t="s">
        <v>3424</v>
      </c>
      <c r="E6" t="s">
        <v>3375</v>
      </c>
      <c r="F6">
        <v>1</v>
      </c>
      <c r="G6" t="s">
        <v>3425</v>
      </c>
      <c r="H6">
        <v>16</v>
      </c>
      <c r="I6" t="s">
        <v>3377</v>
      </c>
      <c r="J6" t="s">
        <v>3378</v>
      </c>
      <c r="K6" t="s">
        <v>3418</v>
      </c>
      <c r="L6" t="s">
        <v>3419</v>
      </c>
      <c r="M6" t="s">
        <v>3381</v>
      </c>
      <c r="N6" t="s">
        <v>3382</v>
      </c>
      <c r="O6" t="s">
        <v>3383</v>
      </c>
      <c r="P6" t="s">
        <v>3384</v>
      </c>
      <c r="Q6" t="s">
        <v>3420</v>
      </c>
      <c r="R6" t="s">
        <v>3386</v>
      </c>
      <c r="S6" t="s">
        <v>3387</v>
      </c>
      <c r="T6" t="s">
        <v>3388</v>
      </c>
      <c r="U6" t="s">
        <v>3426</v>
      </c>
      <c r="V6" t="s">
        <v>3427</v>
      </c>
      <c r="W6" t="s">
        <v>3412</v>
      </c>
      <c r="X6" t="s">
        <v>3391</v>
      </c>
      <c r="Y6" t="s">
        <v>3392</v>
      </c>
      <c r="Z6" t="s">
        <v>3421</v>
      </c>
      <c r="AA6" t="s">
        <v>3419</v>
      </c>
      <c r="AB6" t="s">
        <v>3419</v>
      </c>
      <c r="AC6" t="s">
        <v>3422</v>
      </c>
      <c r="AD6">
        <v>715879</v>
      </c>
    </row>
    <row r="7" spans="1:30" x14ac:dyDescent="0.25">
      <c r="A7" s="46" t="s">
        <v>3428</v>
      </c>
      <c r="B7" t="s">
        <v>3372</v>
      </c>
      <c r="C7" t="s">
        <v>3373</v>
      </c>
      <c r="D7" t="s">
        <v>3429</v>
      </c>
      <c r="E7" t="s">
        <v>3375</v>
      </c>
      <c r="F7">
        <v>1</v>
      </c>
      <c r="G7" t="s">
        <v>3430</v>
      </c>
      <c r="H7">
        <v>16</v>
      </c>
      <c r="I7" t="s">
        <v>3377</v>
      </c>
      <c r="J7" t="s">
        <v>3378</v>
      </c>
      <c r="K7" t="s">
        <v>3418</v>
      </c>
      <c r="L7" t="s">
        <v>3419</v>
      </c>
      <c r="M7" t="s">
        <v>3381</v>
      </c>
      <c r="N7" t="s">
        <v>3382</v>
      </c>
      <c r="O7" t="s">
        <v>3383</v>
      </c>
      <c r="P7" t="s">
        <v>3384</v>
      </c>
      <c r="Q7" t="s">
        <v>3420</v>
      </c>
      <c r="R7" t="s">
        <v>3431</v>
      </c>
      <c r="S7" t="s">
        <v>3387</v>
      </c>
      <c r="T7" t="s">
        <v>3388</v>
      </c>
      <c r="U7" t="s">
        <v>3426</v>
      </c>
      <c r="V7" t="s">
        <v>3427</v>
      </c>
      <c r="W7" t="s">
        <v>3412</v>
      </c>
      <c r="X7" t="s">
        <v>3391</v>
      </c>
      <c r="Y7" t="s">
        <v>3392</v>
      </c>
      <c r="Z7" t="s">
        <v>3421</v>
      </c>
      <c r="AA7" t="s">
        <v>3419</v>
      </c>
      <c r="AB7" t="s">
        <v>3419</v>
      </c>
      <c r="AC7" t="s">
        <v>3422</v>
      </c>
      <c r="AD7">
        <v>715879</v>
      </c>
    </row>
    <row r="8" spans="1:30" x14ac:dyDescent="0.25">
      <c r="A8" s="46" t="s">
        <v>3432</v>
      </c>
      <c r="B8" t="s">
        <v>3372</v>
      </c>
      <c r="C8" t="s">
        <v>3373</v>
      </c>
      <c r="D8" t="s">
        <v>3433</v>
      </c>
      <c r="E8" t="s">
        <v>3375</v>
      </c>
      <c r="F8">
        <v>1</v>
      </c>
      <c r="G8" t="s">
        <v>3434</v>
      </c>
      <c r="H8">
        <v>16</v>
      </c>
      <c r="I8" t="s">
        <v>3377</v>
      </c>
      <c r="J8" t="s">
        <v>3378</v>
      </c>
      <c r="K8" t="s">
        <v>3418</v>
      </c>
      <c r="L8" t="s">
        <v>3419</v>
      </c>
      <c r="M8" t="s">
        <v>3381</v>
      </c>
      <c r="N8" t="s">
        <v>3382</v>
      </c>
      <c r="O8" t="s">
        <v>3383</v>
      </c>
      <c r="P8" t="s">
        <v>3384</v>
      </c>
      <c r="Q8" t="s">
        <v>3420</v>
      </c>
      <c r="R8" t="s">
        <v>3386</v>
      </c>
      <c r="S8" t="s">
        <v>3387</v>
      </c>
      <c r="T8" t="s">
        <v>3388</v>
      </c>
      <c r="U8" t="s">
        <v>3426</v>
      </c>
      <c r="V8" t="s">
        <v>3427</v>
      </c>
      <c r="W8" t="s">
        <v>3412</v>
      </c>
      <c r="X8" t="s">
        <v>3391</v>
      </c>
      <c r="Y8" t="s">
        <v>3392</v>
      </c>
      <c r="Z8" t="s">
        <v>3421</v>
      </c>
      <c r="AA8" t="s">
        <v>3419</v>
      </c>
      <c r="AB8" t="s">
        <v>3419</v>
      </c>
      <c r="AC8" t="s">
        <v>3422</v>
      </c>
      <c r="AD8">
        <v>715879</v>
      </c>
    </row>
    <row r="9" spans="1:30" x14ac:dyDescent="0.25">
      <c r="A9" s="46" t="s">
        <v>3435</v>
      </c>
      <c r="B9" t="s">
        <v>3372</v>
      </c>
      <c r="C9" t="s">
        <v>3373</v>
      </c>
      <c r="D9" t="s">
        <v>3436</v>
      </c>
      <c r="E9" t="s">
        <v>3375</v>
      </c>
      <c r="F9">
        <v>2</v>
      </c>
      <c r="G9" t="s">
        <v>3437</v>
      </c>
      <c r="H9">
        <v>16</v>
      </c>
      <c r="I9" t="s">
        <v>3377</v>
      </c>
      <c r="J9" t="s">
        <v>3378</v>
      </c>
      <c r="K9" t="s">
        <v>3438</v>
      </c>
      <c r="L9" t="s">
        <v>3380</v>
      </c>
      <c r="M9" t="s">
        <v>3381</v>
      </c>
      <c r="N9" t="s">
        <v>3382</v>
      </c>
      <c r="O9" t="s">
        <v>3383</v>
      </c>
      <c r="P9" t="s">
        <v>3384</v>
      </c>
      <c r="Q9" t="s">
        <v>3385</v>
      </c>
      <c r="R9" t="s">
        <v>3439</v>
      </c>
      <c r="S9" t="s">
        <v>3387</v>
      </c>
      <c r="T9" t="s">
        <v>3388</v>
      </c>
      <c r="U9" t="s">
        <v>3426</v>
      </c>
      <c r="V9" t="s">
        <v>3440</v>
      </c>
      <c r="W9" t="s">
        <v>3426</v>
      </c>
      <c r="X9" t="s">
        <v>3391</v>
      </c>
      <c r="Y9" t="s">
        <v>3392</v>
      </c>
      <c r="Z9" t="s">
        <v>3393</v>
      </c>
      <c r="AA9" t="s">
        <v>3380</v>
      </c>
      <c r="AB9" t="s">
        <v>3380</v>
      </c>
      <c r="AC9" t="s">
        <v>3394</v>
      </c>
      <c r="AD9">
        <v>715879</v>
      </c>
    </row>
    <row r="10" spans="1:30" x14ac:dyDescent="0.25">
      <c r="A10" s="46" t="s">
        <v>3441</v>
      </c>
      <c r="B10" t="s">
        <v>3372</v>
      </c>
      <c r="C10" t="s">
        <v>3373</v>
      </c>
      <c r="D10" t="s">
        <v>3442</v>
      </c>
      <c r="E10" t="s">
        <v>3375</v>
      </c>
      <c r="F10">
        <v>2</v>
      </c>
      <c r="G10" t="s">
        <v>3443</v>
      </c>
      <c r="H10">
        <v>16</v>
      </c>
      <c r="I10" t="s">
        <v>3377</v>
      </c>
      <c r="J10" t="s">
        <v>3378</v>
      </c>
      <c r="K10" t="s">
        <v>3444</v>
      </c>
      <c r="L10" t="s">
        <v>3445</v>
      </c>
      <c r="M10" t="s">
        <v>3381</v>
      </c>
      <c r="N10" t="s">
        <v>3382</v>
      </c>
      <c r="O10" t="s">
        <v>3383</v>
      </c>
      <c r="P10" t="s">
        <v>3384</v>
      </c>
      <c r="Q10" t="s">
        <v>3446</v>
      </c>
      <c r="R10" t="s">
        <v>3447</v>
      </c>
      <c r="S10" t="s">
        <v>3387</v>
      </c>
      <c r="T10" t="s">
        <v>3388</v>
      </c>
      <c r="U10" t="s">
        <v>3448</v>
      </c>
      <c r="V10" t="s">
        <v>3401</v>
      </c>
      <c r="W10" t="s">
        <v>3448</v>
      </c>
      <c r="X10" t="s">
        <v>3391</v>
      </c>
      <c r="Y10" t="s">
        <v>3392</v>
      </c>
      <c r="Z10" t="s">
        <v>3449</v>
      </c>
      <c r="AA10" t="s">
        <v>3445</v>
      </c>
      <c r="AB10" t="s">
        <v>3445</v>
      </c>
      <c r="AC10" t="s">
        <v>3450</v>
      </c>
      <c r="AD10">
        <v>961169</v>
      </c>
    </row>
    <row r="11" spans="1:30" x14ac:dyDescent="0.25">
      <c r="A11" s="46" t="s">
        <v>3441</v>
      </c>
      <c r="B11" t="s">
        <v>3372</v>
      </c>
      <c r="C11" t="s">
        <v>3373</v>
      </c>
      <c r="D11" t="s">
        <v>3442</v>
      </c>
      <c r="E11" t="s">
        <v>3375</v>
      </c>
      <c r="F11">
        <v>3</v>
      </c>
      <c r="G11" t="s">
        <v>3443</v>
      </c>
      <c r="H11">
        <v>16</v>
      </c>
      <c r="I11" t="s">
        <v>3377</v>
      </c>
      <c r="J11" t="s">
        <v>3378</v>
      </c>
      <c r="K11" t="s">
        <v>3451</v>
      </c>
      <c r="L11" t="s">
        <v>3452</v>
      </c>
      <c r="M11" t="s">
        <v>3381</v>
      </c>
      <c r="N11" t="s">
        <v>3382</v>
      </c>
      <c r="O11" t="s">
        <v>3383</v>
      </c>
      <c r="P11" t="s">
        <v>3384</v>
      </c>
      <c r="Q11" t="s">
        <v>3453</v>
      </c>
      <c r="R11" t="s">
        <v>3386</v>
      </c>
      <c r="S11" t="s">
        <v>3387</v>
      </c>
      <c r="T11" t="s">
        <v>3388</v>
      </c>
      <c r="U11" t="s">
        <v>3454</v>
      </c>
      <c r="V11" t="s">
        <v>3455</v>
      </c>
      <c r="W11" t="s">
        <v>3456</v>
      </c>
      <c r="X11" t="s">
        <v>3391</v>
      </c>
      <c r="Y11" t="s">
        <v>3392</v>
      </c>
      <c r="Z11" t="s">
        <v>3457</v>
      </c>
      <c r="AA11" t="s">
        <v>3452</v>
      </c>
      <c r="AB11" t="s">
        <v>3452</v>
      </c>
      <c r="AC11" t="s">
        <v>3458</v>
      </c>
      <c r="AD11">
        <v>720467</v>
      </c>
    </row>
    <row r="12" spans="1:30" x14ac:dyDescent="0.25">
      <c r="A12" s="46" t="s">
        <v>3459</v>
      </c>
      <c r="B12" t="s">
        <v>3372</v>
      </c>
      <c r="C12" t="s">
        <v>3373</v>
      </c>
      <c r="D12" t="s">
        <v>3460</v>
      </c>
      <c r="E12" t="s">
        <v>3375</v>
      </c>
      <c r="F12">
        <v>1</v>
      </c>
      <c r="G12" t="s">
        <v>3461</v>
      </c>
      <c r="H12">
        <v>16</v>
      </c>
      <c r="I12" t="s">
        <v>3377</v>
      </c>
      <c r="J12" t="s">
        <v>3378</v>
      </c>
      <c r="K12" t="s">
        <v>3418</v>
      </c>
      <c r="L12" t="s">
        <v>3419</v>
      </c>
      <c r="M12" t="s">
        <v>3381</v>
      </c>
      <c r="N12" t="s">
        <v>3382</v>
      </c>
      <c r="O12" t="s">
        <v>3383</v>
      </c>
      <c r="P12" t="s">
        <v>3384</v>
      </c>
      <c r="Q12" t="s">
        <v>3420</v>
      </c>
      <c r="R12" t="s">
        <v>3386</v>
      </c>
      <c r="S12" t="s">
        <v>3387</v>
      </c>
      <c r="T12" t="s">
        <v>3388</v>
      </c>
      <c r="U12" t="s">
        <v>3426</v>
      </c>
      <c r="V12" t="s">
        <v>3427</v>
      </c>
      <c r="W12" t="s">
        <v>3462</v>
      </c>
      <c r="X12" t="s">
        <v>3391</v>
      </c>
      <c r="Y12" t="s">
        <v>3392</v>
      </c>
      <c r="Z12" t="s">
        <v>3421</v>
      </c>
      <c r="AA12" t="s">
        <v>3419</v>
      </c>
      <c r="AB12" t="s">
        <v>3419</v>
      </c>
      <c r="AC12" t="s">
        <v>3422</v>
      </c>
      <c r="AD12">
        <v>715879</v>
      </c>
    </row>
    <row r="13" spans="1:30" x14ac:dyDescent="0.25">
      <c r="A13" s="46" t="s">
        <v>3463</v>
      </c>
      <c r="B13" t="s">
        <v>3372</v>
      </c>
      <c r="C13" t="s">
        <v>3373</v>
      </c>
      <c r="D13" t="s">
        <v>3464</v>
      </c>
      <c r="E13" t="s">
        <v>3375</v>
      </c>
      <c r="F13">
        <v>1</v>
      </c>
      <c r="G13" t="s">
        <v>3465</v>
      </c>
      <c r="H13">
        <v>16</v>
      </c>
      <c r="I13" t="s">
        <v>3377</v>
      </c>
      <c r="J13" t="s">
        <v>3378</v>
      </c>
      <c r="K13" t="s">
        <v>3418</v>
      </c>
      <c r="L13" t="s">
        <v>3419</v>
      </c>
      <c r="M13" t="s">
        <v>3381</v>
      </c>
      <c r="N13" t="s">
        <v>3382</v>
      </c>
      <c r="O13" t="s">
        <v>3383</v>
      </c>
      <c r="P13" t="s">
        <v>3384</v>
      </c>
      <c r="Q13" t="s">
        <v>3420</v>
      </c>
      <c r="R13" t="s">
        <v>3386</v>
      </c>
      <c r="S13" t="s">
        <v>3387</v>
      </c>
      <c r="T13" t="s">
        <v>3388</v>
      </c>
      <c r="U13" t="s">
        <v>3466</v>
      </c>
      <c r="V13" t="s">
        <v>3467</v>
      </c>
      <c r="W13" t="s">
        <v>3462</v>
      </c>
      <c r="X13" t="s">
        <v>3391</v>
      </c>
      <c r="Y13" t="s">
        <v>3392</v>
      </c>
      <c r="Z13" t="s">
        <v>3421</v>
      </c>
      <c r="AA13" t="s">
        <v>3419</v>
      </c>
      <c r="AB13" t="s">
        <v>3419</v>
      </c>
      <c r="AC13" t="s">
        <v>3422</v>
      </c>
      <c r="AD13">
        <v>715927</v>
      </c>
    </row>
    <row r="14" spans="1:30" x14ac:dyDescent="0.25">
      <c r="A14" s="46" t="s">
        <v>3468</v>
      </c>
      <c r="B14" t="s">
        <v>3372</v>
      </c>
      <c r="C14" t="s">
        <v>3373</v>
      </c>
      <c r="D14" t="s">
        <v>3469</v>
      </c>
      <c r="E14" t="s">
        <v>3375</v>
      </c>
      <c r="F14">
        <v>1</v>
      </c>
      <c r="G14" t="s">
        <v>3470</v>
      </c>
      <c r="H14">
        <v>16</v>
      </c>
      <c r="I14" t="s">
        <v>3377</v>
      </c>
      <c r="J14" t="s">
        <v>3378</v>
      </c>
      <c r="K14" t="s">
        <v>3418</v>
      </c>
      <c r="L14" t="s">
        <v>3419</v>
      </c>
      <c r="M14" t="s">
        <v>3381</v>
      </c>
      <c r="N14" t="s">
        <v>3382</v>
      </c>
      <c r="O14" t="s">
        <v>3383</v>
      </c>
      <c r="P14" t="s">
        <v>3384</v>
      </c>
      <c r="Q14" t="s">
        <v>3420</v>
      </c>
      <c r="R14" t="s">
        <v>3386</v>
      </c>
      <c r="S14" t="s">
        <v>3387</v>
      </c>
      <c r="T14" t="s">
        <v>3388</v>
      </c>
      <c r="U14" t="s">
        <v>3466</v>
      </c>
      <c r="V14" t="s">
        <v>3467</v>
      </c>
      <c r="W14" t="s">
        <v>3462</v>
      </c>
      <c r="X14" t="s">
        <v>3391</v>
      </c>
      <c r="Y14" t="s">
        <v>3392</v>
      </c>
      <c r="Z14" t="s">
        <v>3421</v>
      </c>
      <c r="AA14" t="s">
        <v>3419</v>
      </c>
      <c r="AB14" t="s">
        <v>3419</v>
      </c>
      <c r="AC14" t="s">
        <v>3422</v>
      </c>
      <c r="AD14">
        <v>715927</v>
      </c>
    </row>
    <row r="15" spans="1:30" x14ac:dyDescent="0.25">
      <c r="A15" s="46" t="s">
        <v>3471</v>
      </c>
      <c r="B15" t="s">
        <v>3372</v>
      </c>
      <c r="C15" t="s">
        <v>3373</v>
      </c>
      <c r="D15" t="s">
        <v>3472</v>
      </c>
      <c r="E15" t="s">
        <v>3375</v>
      </c>
      <c r="F15">
        <v>0</v>
      </c>
      <c r="G15" t="s">
        <v>3473</v>
      </c>
      <c r="H15">
        <v>16</v>
      </c>
      <c r="I15" t="s">
        <v>3377</v>
      </c>
      <c r="J15" t="s">
        <v>3378</v>
      </c>
      <c r="K15" t="s">
        <v>3418</v>
      </c>
      <c r="L15" t="s">
        <v>3419</v>
      </c>
      <c r="M15" t="s">
        <v>3381</v>
      </c>
      <c r="N15" t="s">
        <v>3382</v>
      </c>
      <c r="O15" t="s">
        <v>3383</v>
      </c>
      <c r="P15" t="s">
        <v>3384</v>
      </c>
      <c r="Q15" t="s">
        <v>3420</v>
      </c>
      <c r="R15" t="s">
        <v>3474</v>
      </c>
      <c r="S15" t="s">
        <v>3387</v>
      </c>
      <c r="T15" t="s">
        <v>3388</v>
      </c>
      <c r="U15" t="s">
        <v>3475</v>
      </c>
      <c r="V15" t="s">
        <v>3476</v>
      </c>
      <c r="W15" t="s">
        <v>3412</v>
      </c>
      <c r="X15" t="s">
        <v>3391</v>
      </c>
      <c r="Y15" t="s">
        <v>3392</v>
      </c>
      <c r="Z15" t="s">
        <v>3421</v>
      </c>
      <c r="AA15" t="s">
        <v>3419</v>
      </c>
      <c r="AB15" t="s">
        <v>3419</v>
      </c>
      <c r="AC15" t="s">
        <v>3422</v>
      </c>
      <c r="AD15">
        <v>959276</v>
      </c>
    </row>
    <row r="16" spans="1:30" x14ac:dyDescent="0.25">
      <c r="A16" s="46" t="s">
        <v>3477</v>
      </c>
      <c r="B16" t="s">
        <v>3372</v>
      </c>
      <c r="C16" t="s">
        <v>3373</v>
      </c>
      <c r="D16" t="s">
        <v>3478</v>
      </c>
      <c r="E16" t="s">
        <v>3375</v>
      </c>
      <c r="F16">
        <v>2</v>
      </c>
      <c r="G16" t="s">
        <v>3479</v>
      </c>
      <c r="H16">
        <v>16</v>
      </c>
      <c r="I16" t="s">
        <v>3377</v>
      </c>
      <c r="J16" t="s">
        <v>3378</v>
      </c>
      <c r="K16" t="s">
        <v>3480</v>
      </c>
      <c r="L16" t="s">
        <v>3481</v>
      </c>
      <c r="M16" t="s">
        <v>3381</v>
      </c>
      <c r="N16" t="s">
        <v>3382</v>
      </c>
      <c r="O16" t="s">
        <v>3383</v>
      </c>
      <c r="P16" t="s">
        <v>3384</v>
      </c>
      <c r="Q16" t="s">
        <v>3482</v>
      </c>
      <c r="R16" t="s">
        <v>3386</v>
      </c>
      <c r="S16" t="s">
        <v>3387</v>
      </c>
      <c r="T16" t="s">
        <v>3388</v>
      </c>
      <c r="U16" t="s">
        <v>3389</v>
      </c>
      <c r="V16" t="s">
        <v>3483</v>
      </c>
      <c r="W16" t="s">
        <v>3456</v>
      </c>
      <c r="X16" t="s">
        <v>3391</v>
      </c>
      <c r="Y16" t="s">
        <v>3392</v>
      </c>
      <c r="Z16" t="s">
        <v>3484</v>
      </c>
      <c r="AA16" t="s">
        <v>3481</v>
      </c>
      <c r="AB16" t="s">
        <v>3481</v>
      </c>
      <c r="AC16" t="s">
        <v>3485</v>
      </c>
      <c r="AD16">
        <v>718588</v>
      </c>
    </row>
    <row r="17" spans="1:30" x14ac:dyDescent="0.25">
      <c r="A17" s="46" t="s">
        <v>3486</v>
      </c>
      <c r="B17" t="s">
        <v>3372</v>
      </c>
      <c r="C17" t="s">
        <v>3373</v>
      </c>
      <c r="D17" t="s">
        <v>3487</v>
      </c>
      <c r="E17" t="s">
        <v>3375</v>
      </c>
      <c r="F17">
        <v>3</v>
      </c>
      <c r="G17" t="s">
        <v>3488</v>
      </c>
      <c r="H17">
        <v>16</v>
      </c>
      <c r="I17" t="s">
        <v>3377</v>
      </c>
      <c r="J17" t="s">
        <v>3378</v>
      </c>
      <c r="K17" t="s">
        <v>3489</v>
      </c>
      <c r="L17" t="s">
        <v>3490</v>
      </c>
      <c r="M17" t="s">
        <v>3381</v>
      </c>
      <c r="N17" t="s">
        <v>3382</v>
      </c>
      <c r="O17" t="s">
        <v>3383</v>
      </c>
      <c r="P17" t="s">
        <v>3384</v>
      </c>
      <c r="Q17" t="s">
        <v>3491</v>
      </c>
      <c r="R17" t="s">
        <v>3386</v>
      </c>
      <c r="S17" t="s">
        <v>3387</v>
      </c>
      <c r="T17" t="s">
        <v>3388</v>
      </c>
      <c r="U17" t="s">
        <v>3389</v>
      </c>
      <c r="V17" t="s">
        <v>3401</v>
      </c>
      <c r="W17" t="s">
        <v>3389</v>
      </c>
      <c r="X17" t="s">
        <v>3391</v>
      </c>
      <c r="Y17" t="s">
        <v>3392</v>
      </c>
      <c r="Z17" t="s">
        <v>3492</v>
      </c>
      <c r="AA17" t="s">
        <v>3490</v>
      </c>
      <c r="AB17" t="s">
        <v>3490</v>
      </c>
      <c r="AC17" t="s">
        <v>3493</v>
      </c>
      <c r="AD17">
        <v>718588</v>
      </c>
    </row>
    <row r="18" spans="1:30" x14ac:dyDescent="0.25">
      <c r="A18" s="46" t="s">
        <v>3494</v>
      </c>
      <c r="B18" t="s">
        <v>3372</v>
      </c>
      <c r="C18" t="s">
        <v>3373</v>
      </c>
      <c r="D18" t="s">
        <v>3495</v>
      </c>
      <c r="E18" t="s">
        <v>3375</v>
      </c>
      <c r="F18">
        <v>3</v>
      </c>
      <c r="G18" t="s">
        <v>3496</v>
      </c>
      <c r="H18">
        <v>16</v>
      </c>
      <c r="I18" t="s">
        <v>3377</v>
      </c>
      <c r="J18" t="s">
        <v>3378</v>
      </c>
      <c r="K18" t="s">
        <v>3489</v>
      </c>
      <c r="L18" t="s">
        <v>3490</v>
      </c>
      <c r="M18" t="s">
        <v>3381</v>
      </c>
      <c r="N18" t="s">
        <v>3382</v>
      </c>
      <c r="O18" t="s">
        <v>3383</v>
      </c>
      <c r="P18" t="s">
        <v>3384</v>
      </c>
      <c r="Q18" t="s">
        <v>3491</v>
      </c>
      <c r="R18" t="s">
        <v>3386</v>
      </c>
      <c r="S18" t="s">
        <v>3387</v>
      </c>
      <c r="T18" t="s">
        <v>3388</v>
      </c>
      <c r="U18" t="s">
        <v>3497</v>
      </c>
      <c r="V18" t="s">
        <v>3401</v>
      </c>
      <c r="W18" t="s">
        <v>3497</v>
      </c>
      <c r="X18" t="s">
        <v>3391</v>
      </c>
      <c r="Y18" t="s">
        <v>3392</v>
      </c>
      <c r="Z18" t="s">
        <v>3492</v>
      </c>
      <c r="AA18" t="s">
        <v>3490</v>
      </c>
      <c r="AB18" t="s">
        <v>3490</v>
      </c>
      <c r="AC18" t="s">
        <v>3493</v>
      </c>
      <c r="AD18">
        <v>961168</v>
      </c>
    </row>
    <row r="19" spans="1:30" x14ac:dyDescent="0.25">
      <c r="A19" s="46" t="s">
        <v>3498</v>
      </c>
      <c r="B19" t="s">
        <v>3372</v>
      </c>
      <c r="C19" t="s">
        <v>3373</v>
      </c>
      <c r="D19" t="s">
        <v>3499</v>
      </c>
      <c r="E19" t="s">
        <v>3375</v>
      </c>
      <c r="F19">
        <v>0</v>
      </c>
      <c r="G19" t="s">
        <v>3500</v>
      </c>
      <c r="H19">
        <v>16</v>
      </c>
      <c r="I19" t="s">
        <v>3377</v>
      </c>
      <c r="J19" t="s">
        <v>3378</v>
      </c>
      <c r="K19" t="s">
        <v>3418</v>
      </c>
      <c r="L19" t="s">
        <v>3419</v>
      </c>
      <c r="M19" t="s">
        <v>3381</v>
      </c>
      <c r="N19" t="s">
        <v>3382</v>
      </c>
      <c r="O19" t="s">
        <v>3383</v>
      </c>
      <c r="P19" t="s">
        <v>3384</v>
      </c>
      <c r="Q19" t="s">
        <v>3420</v>
      </c>
      <c r="R19" t="s">
        <v>3386</v>
      </c>
      <c r="S19" t="s">
        <v>3387</v>
      </c>
      <c r="T19" t="s">
        <v>3388</v>
      </c>
      <c r="U19" t="s">
        <v>3466</v>
      </c>
      <c r="V19" t="s">
        <v>3467</v>
      </c>
      <c r="W19" t="s">
        <v>3501</v>
      </c>
      <c r="X19" t="s">
        <v>3391</v>
      </c>
      <c r="Y19" t="s">
        <v>3392</v>
      </c>
      <c r="Z19" t="s">
        <v>3421</v>
      </c>
      <c r="AA19" t="s">
        <v>3419</v>
      </c>
      <c r="AB19" t="s">
        <v>3419</v>
      </c>
      <c r="AC19" t="s">
        <v>3422</v>
      </c>
      <c r="AD19">
        <v>715927</v>
      </c>
    </row>
    <row r="20" spans="1:30" x14ac:dyDescent="0.25">
      <c r="A20" s="46" t="s">
        <v>3502</v>
      </c>
      <c r="B20" t="s">
        <v>3372</v>
      </c>
      <c r="C20" t="s">
        <v>3373</v>
      </c>
      <c r="D20" t="s">
        <v>3503</v>
      </c>
      <c r="E20" t="s">
        <v>3375</v>
      </c>
      <c r="F20">
        <v>0</v>
      </c>
      <c r="G20" t="s">
        <v>3504</v>
      </c>
      <c r="H20">
        <v>16</v>
      </c>
      <c r="I20" t="s">
        <v>3377</v>
      </c>
      <c r="J20" t="s">
        <v>3378</v>
      </c>
      <c r="K20" t="s">
        <v>3418</v>
      </c>
      <c r="L20" t="s">
        <v>3505</v>
      </c>
      <c r="M20" t="s">
        <v>3381</v>
      </c>
      <c r="N20" t="s">
        <v>3382</v>
      </c>
      <c r="O20" t="s">
        <v>3383</v>
      </c>
      <c r="P20" t="s">
        <v>3384</v>
      </c>
      <c r="Q20" t="s">
        <v>3506</v>
      </c>
      <c r="R20" t="s">
        <v>3386</v>
      </c>
      <c r="S20" t="s">
        <v>3387</v>
      </c>
      <c r="T20" t="s">
        <v>3388</v>
      </c>
      <c r="U20" t="s">
        <v>3466</v>
      </c>
      <c r="V20" t="s">
        <v>3401</v>
      </c>
      <c r="W20" t="s">
        <v>3466</v>
      </c>
      <c r="X20" t="s">
        <v>3391</v>
      </c>
      <c r="Y20" t="s">
        <v>3392</v>
      </c>
      <c r="Z20" t="s">
        <v>3507</v>
      </c>
      <c r="AA20" t="s">
        <v>3505</v>
      </c>
      <c r="AB20" t="s">
        <v>3505</v>
      </c>
      <c r="AC20" t="s">
        <v>3508</v>
      </c>
      <c r="AD20">
        <v>715927</v>
      </c>
    </row>
    <row r="21" spans="1:30" x14ac:dyDescent="0.25">
      <c r="A21" s="46" t="s">
        <v>3509</v>
      </c>
      <c r="B21" t="s">
        <v>3372</v>
      </c>
      <c r="C21" t="s">
        <v>3373</v>
      </c>
      <c r="D21" t="s">
        <v>3510</v>
      </c>
      <c r="E21" t="s">
        <v>3375</v>
      </c>
      <c r="F21">
        <v>0</v>
      </c>
      <c r="G21" t="s">
        <v>3511</v>
      </c>
      <c r="H21">
        <v>16</v>
      </c>
      <c r="I21" t="s">
        <v>3377</v>
      </c>
      <c r="J21" t="s">
        <v>3378</v>
      </c>
      <c r="K21" t="s">
        <v>3407</v>
      </c>
      <c r="L21" t="s">
        <v>3512</v>
      </c>
      <c r="M21" t="s">
        <v>3381</v>
      </c>
      <c r="N21" t="s">
        <v>3382</v>
      </c>
      <c r="O21" t="s">
        <v>3383</v>
      </c>
      <c r="P21" t="s">
        <v>3384</v>
      </c>
      <c r="Q21" t="s">
        <v>3513</v>
      </c>
      <c r="R21" t="s">
        <v>3386</v>
      </c>
      <c r="S21" t="s">
        <v>3387</v>
      </c>
      <c r="T21" t="s">
        <v>3388</v>
      </c>
      <c r="U21" t="s">
        <v>3514</v>
      </c>
      <c r="V21" t="s">
        <v>3390</v>
      </c>
      <c r="W21" t="s">
        <v>3514</v>
      </c>
      <c r="X21" t="s">
        <v>3391</v>
      </c>
      <c r="Y21" t="s">
        <v>3392</v>
      </c>
      <c r="Z21" t="s">
        <v>3515</v>
      </c>
      <c r="AA21" t="s">
        <v>3512</v>
      </c>
      <c r="AB21" t="s">
        <v>3512</v>
      </c>
      <c r="AC21" t="s">
        <v>3516</v>
      </c>
      <c r="AD21">
        <v>711135</v>
      </c>
    </row>
    <row r="22" spans="1:30" x14ac:dyDescent="0.25">
      <c r="A22" s="46" t="s">
        <v>3517</v>
      </c>
      <c r="B22" t="s">
        <v>3372</v>
      </c>
      <c r="C22" t="s">
        <v>3373</v>
      </c>
      <c r="D22" t="s">
        <v>3518</v>
      </c>
      <c r="E22" t="s">
        <v>3375</v>
      </c>
      <c r="F22">
        <v>1</v>
      </c>
      <c r="G22" t="s">
        <v>3519</v>
      </c>
      <c r="H22">
        <v>16</v>
      </c>
      <c r="I22" t="s">
        <v>3377</v>
      </c>
      <c r="J22" t="s">
        <v>3378</v>
      </c>
      <c r="K22" t="s">
        <v>3418</v>
      </c>
      <c r="L22" t="s">
        <v>3419</v>
      </c>
      <c r="M22" t="s">
        <v>3381</v>
      </c>
      <c r="N22" t="s">
        <v>3382</v>
      </c>
      <c r="O22" t="s">
        <v>3383</v>
      </c>
      <c r="P22" t="s">
        <v>3384</v>
      </c>
      <c r="Q22" t="s">
        <v>3420</v>
      </c>
      <c r="R22" t="s">
        <v>3520</v>
      </c>
      <c r="S22" t="s">
        <v>3387</v>
      </c>
      <c r="T22" t="s">
        <v>3388</v>
      </c>
      <c r="U22" t="s">
        <v>3426</v>
      </c>
      <c r="V22" t="s">
        <v>3427</v>
      </c>
      <c r="W22" t="s">
        <v>3412</v>
      </c>
      <c r="X22" t="s">
        <v>3391</v>
      </c>
      <c r="Y22" t="s">
        <v>3392</v>
      </c>
      <c r="Z22" t="s">
        <v>3421</v>
      </c>
      <c r="AA22" t="s">
        <v>3419</v>
      </c>
      <c r="AB22" t="s">
        <v>3419</v>
      </c>
      <c r="AC22" t="s">
        <v>3422</v>
      </c>
      <c r="AD22">
        <v>715879</v>
      </c>
    </row>
    <row r="23" spans="1:30" x14ac:dyDescent="0.25">
      <c r="A23" s="46" t="s">
        <v>3521</v>
      </c>
      <c r="B23" t="s">
        <v>3372</v>
      </c>
      <c r="C23" t="s">
        <v>3373</v>
      </c>
      <c r="D23" t="s">
        <v>3522</v>
      </c>
      <c r="E23" t="s">
        <v>3375</v>
      </c>
      <c r="F23">
        <v>2</v>
      </c>
      <c r="G23" t="s">
        <v>3523</v>
      </c>
      <c r="H23">
        <v>16</v>
      </c>
      <c r="I23" t="s">
        <v>3377</v>
      </c>
      <c r="J23" t="s">
        <v>3378</v>
      </c>
      <c r="K23" t="s">
        <v>3524</v>
      </c>
      <c r="L23" t="s">
        <v>3490</v>
      </c>
      <c r="M23" t="s">
        <v>3381</v>
      </c>
      <c r="N23" t="s">
        <v>3382</v>
      </c>
      <c r="O23" t="s">
        <v>3383</v>
      </c>
      <c r="P23" t="s">
        <v>3384</v>
      </c>
      <c r="Q23" t="s">
        <v>3491</v>
      </c>
      <c r="R23" t="s">
        <v>3525</v>
      </c>
      <c r="S23" t="s">
        <v>3387</v>
      </c>
      <c r="T23" t="s">
        <v>3388</v>
      </c>
      <c r="U23" t="s">
        <v>3389</v>
      </c>
      <c r="V23" t="s">
        <v>3401</v>
      </c>
      <c r="W23" t="s">
        <v>3389</v>
      </c>
      <c r="X23" t="s">
        <v>3391</v>
      </c>
      <c r="Y23" t="s">
        <v>3392</v>
      </c>
      <c r="Z23" t="s">
        <v>3492</v>
      </c>
      <c r="AA23" t="s">
        <v>3490</v>
      </c>
      <c r="AB23" t="s">
        <v>3490</v>
      </c>
      <c r="AC23" t="s">
        <v>3493</v>
      </c>
      <c r="AD23">
        <v>718588</v>
      </c>
    </row>
    <row r="24" spans="1:30" x14ac:dyDescent="0.25">
      <c r="A24" s="46" t="s">
        <v>2560</v>
      </c>
      <c r="B24" t="s">
        <v>3372</v>
      </c>
      <c r="C24" t="s">
        <v>3373</v>
      </c>
      <c r="D24" t="s">
        <v>3526</v>
      </c>
      <c r="E24" t="s">
        <v>3375</v>
      </c>
      <c r="F24">
        <v>0</v>
      </c>
      <c r="G24" t="s">
        <v>3527</v>
      </c>
      <c r="H24">
        <v>16</v>
      </c>
      <c r="I24" t="s">
        <v>3377</v>
      </c>
      <c r="J24" t="s">
        <v>3378</v>
      </c>
      <c r="K24" t="s">
        <v>3444</v>
      </c>
      <c r="L24" t="s">
        <v>3481</v>
      </c>
      <c r="M24" t="s">
        <v>3381</v>
      </c>
      <c r="N24" t="s">
        <v>3382</v>
      </c>
      <c r="O24" t="s">
        <v>3383</v>
      </c>
      <c r="P24" t="s">
        <v>3384</v>
      </c>
      <c r="Q24" t="s">
        <v>3482</v>
      </c>
      <c r="R24" t="s">
        <v>3528</v>
      </c>
      <c r="S24" t="s">
        <v>3387</v>
      </c>
      <c r="T24" t="s">
        <v>3388</v>
      </c>
      <c r="U24" t="s">
        <v>3529</v>
      </c>
      <c r="V24" t="s">
        <v>3530</v>
      </c>
      <c r="W24" t="s">
        <v>3456</v>
      </c>
      <c r="X24" t="s">
        <v>3391</v>
      </c>
      <c r="Y24" t="s">
        <v>3392</v>
      </c>
      <c r="Z24" t="s">
        <v>3484</v>
      </c>
      <c r="AA24" t="s">
        <v>3481</v>
      </c>
      <c r="AB24" t="s">
        <v>3481</v>
      </c>
      <c r="AC24" t="s">
        <v>3485</v>
      </c>
      <c r="AD24">
        <v>959742</v>
      </c>
    </row>
    <row r="25" spans="1:30" x14ac:dyDescent="0.25">
      <c r="A25" s="46" t="s">
        <v>3531</v>
      </c>
      <c r="B25" t="s">
        <v>3372</v>
      </c>
      <c r="C25" t="s">
        <v>3373</v>
      </c>
      <c r="D25" t="s">
        <v>3532</v>
      </c>
      <c r="E25" t="s">
        <v>3375</v>
      </c>
      <c r="F25">
        <v>0</v>
      </c>
      <c r="G25" t="s">
        <v>3533</v>
      </c>
      <c r="H25">
        <v>16</v>
      </c>
      <c r="I25" t="s">
        <v>3377</v>
      </c>
      <c r="J25" t="s">
        <v>3378</v>
      </c>
      <c r="K25" t="s">
        <v>3534</v>
      </c>
      <c r="L25" t="s">
        <v>3535</v>
      </c>
      <c r="M25" t="s">
        <v>3381</v>
      </c>
      <c r="N25" t="s">
        <v>3382</v>
      </c>
      <c r="O25" t="s">
        <v>3383</v>
      </c>
      <c r="P25" t="s">
        <v>3384</v>
      </c>
      <c r="Q25" t="s">
        <v>3536</v>
      </c>
      <c r="R25" t="s">
        <v>3386</v>
      </c>
      <c r="S25" t="s">
        <v>3387</v>
      </c>
      <c r="T25" t="s">
        <v>3388</v>
      </c>
      <c r="U25" t="s">
        <v>3537</v>
      </c>
      <c r="V25" t="s">
        <v>3538</v>
      </c>
      <c r="W25" t="s">
        <v>3537</v>
      </c>
      <c r="X25" t="s">
        <v>3391</v>
      </c>
      <c r="Y25" t="s">
        <v>3392</v>
      </c>
      <c r="Z25" t="s">
        <v>3539</v>
      </c>
      <c r="AA25" t="s">
        <v>3535</v>
      </c>
      <c r="AB25" t="s">
        <v>3535</v>
      </c>
      <c r="AC25" t="s">
        <v>3540</v>
      </c>
      <c r="AD25">
        <v>961585</v>
      </c>
    </row>
    <row r="26" spans="1:30" x14ac:dyDescent="0.25">
      <c r="A26" s="46" t="s">
        <v>3541</v>
      </c>
      <c r="B26" t="s">
        <v>3372</v>
      </c>
      <c r="C26" t="s">
        <v>3373</v>
      </c>
      <c r="D26" t="s">
        <v>3542</v>
      </c>
      <c r="E26" t="s">
        <v>3543</v>
      </c>
      <c r="F26">
        <v>0</v>
      </c>
      <c r="G26" t="s">
        <v>3544</v>
      </c>
      <c r="H26">
        <v>16</v>
      </c>
      <c r="I26" t="s">
        <v>3377</v>
      </c>
      <c r="J26" t="s">
        <v>3378</v>
      </c>
      <c r="K26" t="s">
        <v>3545</v>
      </c>
      <c r="L26" t="s">
        <v>3546</v>
      </c>
      <c r="M26" t="s">
        <v>3381</v>
      </c>
      <c r="N26" t="s">
        <v>3382</v>
      </c>
      <c r="O26" t="s">
        <v>3383</v>
      </c>
      <c r="P26" t="s">
        <v>3384</v>
      </c>
      <c r="Q26" t="s">
        <v>3547</v>
      </c>
      <c r="R26" t="s">
        <v>3386</v>
      </c>
      <c r="S26" t="s">
        <v>3387</v>
      </c>
      <c r="T26" t="s">
        <v>3388</v>
      </c>
      <c r="U26" t="s">
        <v>3548</v>
      </c>
      <c r="V26" t="s">
        <v>3549</v>
      </c>
      <c r="W26" t="s">
        <v>3550</v>
      </c>
      <c r="X26" t="s">
        <v>3391</v>
      </c>
      <c r="Y26" t="s">
        <v>3392</v>
      </c>
      <c r="Z26" t="s">
        <v>3551</v>
      </c>
      <c r="AA26" t="s">
        <v>3546</v>
      </c>
      <c r="AB26" t="s">
        <v>3546</v>
      </c>
      <c r="AC26" t="s">
        <v>3552</v>
      </c>
      <c r="AD26">
        <v>961676</v>
      </c>
    </row>
    <row r="27" spans="1:30" x14ac:dyDescent="0.25">
      <c r="A27" s="46" t="s">
        <v>3553</v>
      </c>
      <c r="B27" t="s">
        <v>3372</v>
      </c>
      <c r="C27" t="s">
        <v>3373</v>
      </c>
      <c r="D27" t="s">
        <v>3554</v>
      </c>
      <c r="E27" t="s">
        <v>3375</v>
      </c>
      <c r="F27">
        <v>0</v>
      </c>
      <c r="G27" t="s">
        <v>3555</v>
      </c>
      <c r="H27">
        <v>16</v>
      </c>
      <c r="I27" t="s">
        <v>3377</v>
      </c>
      <c r="J27" t="s">
        <v>3378</v>
      </c>
      <c r="K27" t="s">
        <v>3545</v>
      </c>
      <c r="L27" t="s">
        <v>3546</v>
      </c>
      <c r="M27" t="s">
        <v>3381</v>
      </c>
      <c r="N27" t="s">
        <v>3382</v>
      </c>
      <c r="O27" t="s">
        <v>3383</v>
      </c>
      <c r="P27" t="s">
        <v>3384</v>
      </c>
      <c r="Q27" t="s">
        <v>3547</v>
      </c>
      <c r="R27" t="s">
        <v>3386</v>
      </c>
      <c r="S27" t="s">
        <v>3387</v>
      </c>
      <c r="T27" t="s">
        <v>3388</v>
      </c>
      <c r="U27" t="s">
        <v>3548</v>
      </c>
      <c r="V27" t="s">
        <v>3549</v>
      </c>
      <c r="W27" t="s">
        <v>3550</v>
      </c>
      <c r="X27" t="s">
        <v>3391</v>
      </c>
      <c r="Y27" t="s">
        <v>3392</v>
      </c>
      <c r="Z27" t="s">
        <v>3551</v>
      </c>
      <c r="AA27" t="s">
        <v>3546</v>
      </c>
      <c r="AB27" t="s">
        <v>3546</v>
      </c>
      <c r="AC27" t="s">
        <v>3552</v>
      </c>
      <c r="AD27">
        <v>961676</v>
      </c>
    </row>
    <row r="28" spans="1:30" x14ac:dyDescent="0.25">
      <c r="A28" s="46" t="s">
        <v>2719</v>
      </c>
      <c r="B28" t="s">
        <v>3372</v>
      </c>
      <c r="C28" t="s">
        <v>3373</v>
      </c>
      <c r="D28" t="s">
        <v>3556</v>
      </c>
      <c r="E28" t="s">
        <v>3375</v>
      </c>
      <c r="F28">
        <v>0</v>
      </c>
      <c r="G28" t="s">
        <v>3557</v>
      </c>
      <c r="H28">
        <v>16</v>
      </c>
      <c r="I28" t="s">
        <v>3377</v>
      </c>
      <c r="J28" t="s">
        <v>3378</v>
      </c>
      <c r="K28" t="s">
        <v>3418</v>
      </c>
      <c r="L28" t="s">
        <v>3419</v>
      </c>
      <c r="M28" t="s">
        <v>3381</v>
      </c>
      <c r="N28" t="s">
        <v>3382</v>
      </c>
      <c r="O28" t="s">
        <v>3383</v>
      </c>
      <c r="P28" t="s">
        <v>3384</v>
      </c>
      <c r="Q28" t="s">
        <v>3420</v>
      </c>
      <c r="R28" t="s">
        <v>3386</v>
      </c>
      <c r="S28" t="s">
        <v>3387</v>
      </c>
      <c r="T28" t="s">
        <v>3388</v>
      </c>
      <c r="U28" t="s">
        <v>3558</v>
      </c>
      <c r="V28" t="s">
        <v>3559</v>
      </c>
      <c r="W28" t="s">
        <v>3560</v>
      </c>
      <c r="X28" t="s">
        <v>3391</v>
      </c>
      <c r="Y28" t="s">
        <v>3392</v>
      </c>
      <c r="Z28" t="s">
        <v>3421</v>
      </c>
      <c r="AA28" t="s">
        <v>3419</v>
      </c>
      <c r="AB28" t="s">
        <v>3419</v>
      </c>
      <c r="AC28" t="s">
        <v>3422</v>
      </c>
      <c r="AD28">
        <v>958109</v>
      </c>
    </row>
    <row r="29" spans="1:30" x14ac:dyDescent="0.25">
      <c r="A29" s="46" t="s">
        <v>2722</v>
      </c>
      <c r="B29" t="s">
        <v>3372</v>
      </c>
      <c r="C29" t="s">
        <v>3373</v>
      </c>
      <c r="D29" t="s">
        <v>3561</v>
      </c>
      <c r="E29" t="s">
        <v>3375</v>
      </c>
      <c r="F29">
        <v>0</v>
      </c>
      <c r="G29" t="s">
        <v>3562</v>
      </c>
      <c r="H29">
        <v>16</v>
      </c>
      <c r="I29" t="s">
        <v>3377</v>
      </c>
      <c r="J29" t="s">
        <v>3378</v>
      </c>
      <c r="K29" t="s">
        <v>3418</v>
      </c>
      <c r="L29" t="s">
        <v>3419</v>
      </c>
      <c r="M29" t="s">
        <v>3381</v>
      </c>
      <c r="N29" t="s">
        <v>3382</v>
      </c>
      <c r="O29" t="s">
        <v>3383</v>
      </c>
      <c r="P29" t="s">
        <v>3384</v>
      </c>
      <c r="Q29" t="s">
        <v>3420</v>
      </c>
      <c r="R29" t="s">
        <v>3386</v>
      </c>
      <c r="S29" t="s">
        <v>3387</v>
      </c>
      <c r="T29" t="s">
        <v>3388</v>
      </c>
      <c r="U29" t="s">
        <v>3558</v>
      </c>
      <c r="V29" t="s">
        <v>3559</v>
      </c>
      <c r="W29" t="s">
        <v>3560</v>
      </c>
      <c r="X29" t="s">
        <v>3391</v>
      </c>
      <c r="Y29" t="s">
        <v>3392</v>
      </c>
      <c r="Z29" t="s">
        <v>3421</v>
      </c>
      <c r="AA29" t="s">
        <v>3419</v>
      </c>
      <c r="AB29" t="s">
        <v>3419</v>
      </c>
      <c r="AC29" t="s">
        <v>3422</v>
      </c>
      <c r="AD29">
        <v>958109</v>
      </c>
    </row>
    <row r="30" spans="1:30" x14ac:dyDescent="0.25">
      <c r="A30" s="46" t="s">
        <v>2725</v>
      </c>
      <c r="B30" t="s">
        <v>3372</v>
      </c>
      <c r="C30" t="s">
        <v>3373</v>
      </c>
      <c r="D30" t="s">
        <v>3563</v>
      </c>
      <c r="E30" t="s">
        <v>3375</v>
      </c>
      <c r="F30">
        <v>0</v>
      </c>
      <c r="G30" t="s">
        <v>3564</v>
      </c>
      <c r="H30">
        <v>16</v>
      </c>
      <c r="I30" t="s">
        <v>3377</v>
      </c>
      <c r="J30" t="s">
        <v>3378</v>
      </c>
      <c r="K30" t="s">
        <v>3418</v>
      </c>
      <c r="L30" t="s">
        <v>3419</v>
      </c>
      <c r="M30" t="s">
        <v>3381</v>
      </c>
      <c r="N30" t="s">
        <v>3382</v>
      </c>
      <c r="O30" t="s">
        <v>3383</v>
      </c>
      <c r="P30" t="s">
        <v>3384</v>
      </c>
      <c r="Q30" t="s">
        <v>3420</v>
      </c>
      <c r="R30" t="s">
        <v>3386</v>
      </c>
      <c r="S30" t="s">
        <v>3387</v>
      </c>
      <c r="T30" t="s">
        <v>3388</v>
      </c>
      <c r="U30" t="s">
        <v>3558</v>
      </c>
      <c r="V30" t="s">
        <v>3559</v>
      </c>
      <c r="W30" t="s">
        <v>3560</v>
      </c>
      <c r="X30" t="s">
        <v>3391</v>
      </c>
      <c r="Y30" t="s">
        <v>3392</v>
      </c>
      <c r="Z30" t="s">
        <v>3421</v>
      </c>
      <c r="AA30" t="s">
        <v>3419</v>
      </c>
      <c r="AB30" t="s">
        <v>3419</v>
      </c>
      <c r="AC30" t="s">
        <v>3422</v>
      </c>
      <c r="AD30">
        <v>958109</v>
      </c>
    </row>
    <row r="31" spans="1:30" x14ac:dyDescent="0.25">
      <c r="A31" s="46" t="s">
        <v>2729</v>
      </c>
      <c r="B31" t="s">
        <v>3372</v>
      </c>
      <c r="C31" t="s">
        <v>3373</v>
      </c>
      <c r="D31" t="s">
        <v>3565</v>
      </c>
      <c r="E31" t="s">
        <v>3375</v>
      </c>
      <c r="F31">
        <v>0</v>
      </c>
      <c r="G31" t="s">
        <v>3566</v>
      </c>
      <c r="H31">
        <v>16</v>
      </c>
      <c r="I31" t="s">
        <v>3377</v>
      </c>
      <c r="J31" t="s">
        <v>3378</v>
      </c>
      <c r="K31" t="s">
        <v>3418</v>
      </c>
      <c r="L31" t="s">
        <v>3419</v>
      </c>
      <c r="M31" t="s">
        <v>3381</v>
      </c>
      <c r="N31" t="s">
        <v>3382</v>
      </c>
      <c r="O31" t="s">
        <v>3383</v>
      </c>
      <c r="P31" t="s">
        <v>3384</v>
      </c>
      <c r="Q31" t="s">
        <v>3420</v>
      </c>
      <c r="R31" t="s">
        <v>3386</v>
      </c>
      <c r="S31" t="s">
        <v>3387</v>
      </c>
      <c r="T31" t="s">
        <v>3388</v>
      </c>
      <c r="U31" t="s">
        <v>3558</v>
      </c>
      <c r="V31" t="s">
        <v>3559</v>
      </c>
      <c r="W31" t="s">
        <v>3560</v>
      </c>
      <c r="X31" t="s">
        <v>3391</v>
      </c>
      <c r="Y31" t="s">
        <v>3392</v>
      </c>
      <c r="Z31" t="s">
        <v>3421</v>
      </c>
      <c r="AA31" t="s">
        <v>3419</v>
      </c>
      <c r="AB31" t="s">
        <v>3419</v>
      </c>
      <c r="AC31" t="s">
        <v>3422</v>
      </c>
      <c r="AD31">
        <v>958109</v>
      </c>
    </row>
    <row r="32" spans="1:30" x14ac:dyDescent="0.25">
      <c r="A32" s="46" t="s">
        <v>2732</v>
      </c>
      <c r="B32" t="s">
        <v>3372</v>
      </c>
      <c r="C32" t="s">
        <v>3373</v>
      </c>
      <c r="D32" t="s">
        <v>3567</v>
      </c>
      <c r="E32" t="s">
        <v>3375</v>
      </c>
      <c r="F32">
        <v>0</v>
      </c>
      <c r="G32" t="s">
        <v>3568</v>
      </c>
      <c r="H32">
        <v>16</v>
      </c>
      <c r="I32" t="s">
        <v>3377</v>
      </c>
      <c r="J32" t="s">
        <v>3378</v>
      </c>
      <c r="K32" t="s">
        <v>3418</v>
      </c>
      <c r="L32" t="s">
        <v>3419</v>
      </c>
      <c r="M32" t="s">
        <v>3381</v>
      </c>
      <c r="N32" t="s">
        <v>3382</v>
      </c>
      <c r="O32" t="s">
        <v>3383</v>
      </c>
      <c r="P32" t="s">
        <v>3384</v>
      </c>
      <c r="Q32" t="s">
        <v>3420</v>
      </c>
      <c r="R32" t="s">
        <v>3386</v>
      </c>
      <c r="S32" t="s">
        <v>3387</v>
      </c>
      <c r="T32" t="s">
        <v>3388</v>
      </c>
      <c r="U32" t="s">
        <v>3558</v>
      </c>
      <c r="V32" t="s">
        <v>3559</v>
      </c>
      <c r="W32" t="s">
        <v>3560</v>
      </c>
      <c r="X32" t="s">
        <v>3391</v>
      </c>
      <c r="Y32" t="s">
        <v>3392</v>
      </c>
      <c r="Z32" t="s">
        <v>3421</v>
      </c>
      <c r="AA32" t="s">
        <v>3419</v>
      </c>
      <c r="AB32" t="s">
        <v>3419</v>
      </c>
      <c r="AC32" t="s">
        <v>3422</v>
      </c>
      <c r="AD32">
        <v>958109</v>
      </c>
    </row>
    <row r="33" spans="1:30" x14ac:dyDescent="0.25">
      <c r="A33" s="46" t="s">
        <v>2737</v>
      </c>
      <c r="B33" t="s">
        <v>3372</v>
      </c>
      <c r="C33" t="s">
        <v>3373</v>
      </c>
      <c r="D33" t="s">
        <v>3569</v>
      </c>
      <c r="E33" t="s">
        <v>3375</v>
      </c>
      <c r="F33">
        <v>0</v>
      </c>
      <c r="G33" t="s">
        <v>3570</v>
      </c>
      <c r="H33">
        <v>16</v>
      </c>
      <c r="I33" t="s">
        <v>3377</v>
      </c>
      <c r="J33" t="s">
        <v>3378</v>
      </c>
      <c r="K33" t="s">
        <v>3418</v>
      </c>
      <c r="L33" t="s">
        <v>3419</v>
      </c>
      <c r="M33" t="s">
        <v>3381</v>
      </c>
      <c r="N33" t="s">
        <v>3382</v>
      </c>
      <c r="O33" t="s">
        <v>3383</v>
      </c>
      <c r="P33" t="s">
        <v>3384</v>
      </c>
      <c r="Q33" t="s">
        <v>3420</v>
      </c>
      <c r="R33" t="s">
        <v>3386</v>
      </c>
      <c r="S33" t="s">
        <v>3387</v>
      </c>
      <c r="T33" t="s">
        <v>3388</v>
      </c>
      <c r="U33" t="s">
        <v>3558</v>
      </c>
      <c r="V33" t="s">
        <v>3559</v>
      </c>
      <c r="W33" t="s">
        <v>3560</v>
      </c>
      <c r="X33" t="s">
        <v>3391</v>
      </c>
      <c r="Y33" t="s">
        <v>3392</v>
      </c>
      <c r="Z33" t="s">
        <v>3421</v>
      </c>
      <c r="AA33" t="s">
        <v>3419</v>
      </c>
      <c r="AB33" t="s">
        <v>3419</v>
      </c>
      <c r="AC33" t="s">
        <v>3422</v>
      </c>
      <c r="AD33">
        <v>958109</v>
      </c>
    </row>
    <row r="34" spans="1:30" x14ac:dyDescent="0.25">
      <c r="A34" s="46" t="s">
        <v>2740</v>
      </c>
      <c r="B34" t="s">
        <v>3372</v>
      </c>
      <c r="C34" t="s">
        <v>3373</v>
      </c>
      <c r="D34" t="s">
        <v>3571</v>
      </c>
      <c r="E34" t="s">
        <v>3375</v>
      </c>
      <c r="F34">
        <v>0</v>
      </c>
      <c r="G34" t="s">
        <v>3572</v>
      </c>
      <c r="H34">
        <v>16</v>
      </c>
      <c r="I34" t="s">
        <v>3377</v>
      </c>
      <c r="J34" t="s">
        <v>3378</v>
      </c>
      <c r="K34" t="s">
        <v>3418</v>
      </c>
      <c r="L34" t="s">
        <v>3419</v>
      </c>
      <c r="M34" t="s">
        <v>3381</v>
      </c>
      <c r="N34" t="s">
        <v>3382</v>
      </c>
      <c r="O34" t="s">
        <v>3383</v>
      </c>
      <c r="P34" t="s">
        <v>3384</v>
      </c>
      <c r="Q34" t="s">
        <v>3420</v>
      </c>
      <c r="R34" t="s">
        <v>3386</v>
      </c>
      <c r="S34" t="s">
        <v>3387</v>
      </c>
      <c r="T34" t="s">
        <v>3388</v>
      </c>
      <c r="U34" t="s">
        <v>3558</v>
      </c>
      <c r="V34" t="s">
        <v>3559</v>
      </c>
      <c r="W34" t="s">
        <v>3560</v>
      </c>
      <c r="X34" t="s">
        <v>3391</v>
      </c>
      <c r="Y34" t="s">
        <v>3392</v>
      </c>
      <c r="Z34" t="s">
        <v>3421</v>
      </c>
      <c r="AA34" t="s">
        <v>3419</v>
      </c>
      <c r="AB34" t="s">
        <v>3419</v>
      </c>
      <c r="AC34" t="s">
        <v>3422</v>
      </c>
      <c r="AD34">
        <v>958109</v>
      </c>
    </row>
    <row r="35" spans="1:30" x14ac:dyDescent="0.25">
      <c r="A35" s="46" t="s">
        <v>2746</v>
      </c>
      <c r="B35" t="s">
        <v>3372</v>
      </c>
      <c r="C35" t="s">
        <v>3373</v>
      </c>
      <c r="D35" t="s">
        <v>3573</v>
      </c>
      <c r="E35" t="s">
        <v>3375</v>
      </c>
      <c r="F35">
        <v>0</v>
      </c>
      <c r="G35" t="s">
        <v>3574</v>
      </c>
      <c r="H35">
        <v>16</v>
      </c>
      <c r="I35" t="s">
        <v>3377</v>
      </c>
      <c r="J35" t="s">
        <v>3378</v>
      </c>
      <c r="K35" t="s">
        <v>3418</v>
      </c>
      <c r="L35" t="s">
        <v>3419</v>
      </c>
      <c r="M35" t="s">
        <v>3381</v>
      </c>
      <c r="N35" t="s">
        <v>3382</v>
      </c>
      <c r="O35" t="s">
        <v>3383</v>
      </c>
      <c r="P35" t="s">
        <v>3384</v>
      </c>
      <c r="Q35" t="s">
        <v>3420</v>
      </c>
      <c r="R35" t="s">
        <v>3386</v>
      </c>
      <c r="S35" t="s">
        <v>3387</v>
      </c>
      <c r="T35" t="s">
        <v>3388</v>
      </c>
      <c r="U35" t="s">
        <v>3558</v>
      </c>
      <c r="V35" t="s">
        <v>3559</v>
      </c>
      <c r="W35" t="s">
        <v>3560</v>
      </c>
      <c r="X35" t="s">
        <v>3391</v>
      </c>
      <c r="Y35" t="s">
        <v>3392</v>
      </c>
      <c r="Z35" t="s">
        <v>3421</v>
      </c>
      <c r="AA35" t="s">
        <v>3419</v>
      </c>
      <c r="AB35" t="s">
        <v>3419</v>
      </c>
      <c r="AC35" t="s">
        <v>3422</v>
      </c>
      <c r="AD35">
        <v>958109</v>
      </c>
    </row>
    <row r="36" spans="1:30" x14ac:dyDescent="0.25">
      <c r="A36" s="46" t="s">
        <v>2749</v>
      </c>
      <c r="B36" t="s">
        <v>3372</v>
      </c>
      <c r="C36" t="s">
        <v>3373</v>
      </c>
      <c r="D36" t="s">
        <v>3575</v>
      </c>
      <c r="E36" t="s">
        <v>3375</v>
      </c>
      <c r="F36">
        <v>0</v>
      </c>
      <c r="G36" t="s">
        <v>3576</v>
      </c>
      <c r="H36">
        <v>16</v>
      </c>
      <c r="I36" t="s">
        <v>3377</v>
      </c>
      <c r="J36" t="s">
        <v>3378</v>
      </c>
      <c r="K36" t="s">
        <v>3418</v>
      </c>
      <c r="L36" t="s">
        <v>3419</v>
      </c>
      <c r="M36" t="s">
        <v>3381</v>
      </c>
      <c r="N36" t="s">
        <v>3382</v>
      </c>
      <c r="O36" t="s">
        <v>3383</v>
      </c>
      <c r="P36" t="s">
        <v>3384</v>
      </c>
      <c r="Q36" t="s">
        <v>3420</v>
      </c>
      <c r="R36" t="s">
        <v>3386</v>
      </c>
      <c r="S36" t="s">
        <v>3387</v>
      </c>
      <c r="T36" t="s">
        <v>3388</v>
      </c>
      <c r="U36" t="s">
        <v>3558</v>
      </c>
      <c r="V36" t="s">
        <v>3559</v>
      </c>
      <c r="W36" t="s">
        <v>3560</v>
      </c>
      <c r="X36" t="s">
        <v>3391</v>
      </c>
      <c r="Y36" t="s">
        <v>3392</v>
      </c>
      <c r="Z36" t="s">
        <v>3421</v>
      </c>
      <c r="AA36" t="s">
        <v>3419</v>
      </c>
      <c r="AB36" t="s">
        <v>3419</v>
      </c>
      <c r="AC36" t="s">
        <v>3422</v>
      </c>
      <c r="AD36">
        <v>958109</v>
      </c>
    </row>
    <row r="37" spans="1:30" x14ac:dyDescent="0.25">
      <c r="A37" s="46" t="s">
        <v>2752</v>
      </c>
      <c r="B37" t="s">
        <v>3372</v>
      </c>
      <c r="C37" t="s">
        <v>3373</v>
      </c>
      <c r="D37" t="s">
        <v>3577</v>
      </c>
      <c r="E37" t="s">
        <v>3375</v>
      </c>
      <c r="F37">
        <v>0</v>
      </c>
      <c r="G37" t="s">
        <v>3578</v>
      </c>
      <c r="H37">
        <v>16</v>
      </c>
      <c r="I37" t="s">
        <v>3377</v>
      </c>
      <c r="J37" t="s">
        <v>3378</v>
      </c>
      <c r="K37" t="s">
        <v>3418</v>
      </c>
      <c r="L37" t="s">
        <v>3419</v>
      </c>
      <c r="M37" t="s">
        <v>3381</v>
      </c>
      <c r="N37" t="s">
        <v>3382</v>
      </c>
      <c r="O37" t="s">
        <v>3383</v>
      </c>
      <c r="P37" t="s">
        <v>3384</v>
      </c>
      <c r="Q37" t="s">
        <v>3420</v>
      </c>
      <c r="R37" t="s">
        <v>3386</v>
      </c>
      <c r="S37" t="s">
        <v>3387</v>
      </c>
      <c r="T37" t="s">
        <v>3388</v>
      </c>
      <c r="U37" t="s">
        <v>3558</v>
      </c>
      <c r="V37" t="s">
        <v>3559</v>
      </c>
      <c r="W37" t="s">
        <v>3560</v>
      </c>
      <c r="X37" t="s">
        <v>3391</v>
      </c>
      <c r="Y37" t="s">
        <v>3392</v>
      </c>
      <c r="Z37" t="s">
        <v>3421</v>
      </c>
      <c r="AA37" t="s">
        <v>3419</v>
      </c>
      <c r="AB37" t="s">
        <v>3419</v>
      </c>
      <c r="AC37" t="s">
        <v>3422</v>
      </c>
      <c r="AD37">
        <v>958109</v>
      </c>
    </row>
    <row r="38" spans="1:30" x14ac:dyDescent="0.25">
      <c r="A38" s="46" t="s">
        <v>2758</v>
      </c>
      <c r="B38" t="s">
        <v>3372</v>
      </c>
      <c r="C38" t="s">
        <v>3373</v>
      </c>
      <c r="D38" t="s">
        <v>3579</v>
      </c>
      <c r="E38" t="s">
        <v>3375</v>
      </c>
      <c r="F38">
        <v>0</v>
      </c>
      <c r="G38" t="s">
        <v>3580</v>
      </c>
      <c r="H38">
        <v>16</v>
      </c>
      <c r="I38" t="s">
        <v>3377</v>
      </c>
      <c r="J38" t="s">
        <v>3378</v>
      </c>
      <c r="K38" t="s">
        <v>3418</v>
      </c>
      <c r="L38" t="s">
        <v>3419</v>
      </c>
      <c r="M38" t="s">
        <v>3381</v>
      </c>
      <c r="N38" t="s">
        <v>3382</v>
      </c>
      <c r="O38" t="s">
        <v>3383</v>
      </c>
      <c r="P38" t="s">
        <v>3384</v>
      </c>
      <c r="Q38" t="s">
        <v>3420</v>
      </c>
      <c r="R38" t="s">
        <v>3386</v>
      </c>
      <c r="S38" t="s">
        <v>3387</v>
      </c>
      <c r="T38" t="s">
        <v>3388</v>
      </c>
      <c r="U38" t="s">
        <v>3558</v>
      </c>
      <c r="V38" t="s">
        <v>3559</v>
      </c>
      <c r="W38" t="s">
        <v>3560</v>
      </c>
      <c r="X38" t="s">
        <v>3391</v>
      </c>
      <c r="Y38" t="s">
        <v>3392</v>
      </c>
      <c r="Z38" t="s">
        <v>3421</v>
      </c>
      <c r="AA38" t="s">
        <v>3419</v>
      </c>
      <c r="AB38" t="s">
        <v>3419</v>
      </c>
      <c r="AC38" t="s">
        <v>3422</v>
      </c>
      <c r="AD38">
        <v>958109</v>
      </c>
    </row>
    <row r="39" spans="1:30" x14ac:dyDescent="0.25">
      <c r="A39" s="46" t="s">
        <v>2762</v>
      </c>
      <c r="B39" t="s">
        <v>3372</v>
      </c>
      <c r="C39" t="s">
        <v>3373</v>
      </c>
      <c r="D39" t="s">
        <v>3581</v>
      </c>
      <c r="E39" t="s">
        <v>3375</v>
      </c>
      <c r="F39">
        <v>0</v>
      </c>
      <c r="G39" t="s">
        <v>3582</v>
      </c>
      <c r="H39">
        <v>16</v>
      </c>
      <c r="I39" t="s">
        <v>3377</v>
      </c>
      <c r="J39" t="s">
        <v>3378</v>
      </c>
      <c r="K39" t="s">
        <v>3418</v>
      </c>
      <c r="L39" t="s">
        <v>3419</v>
      </c>
      <c r="M39" t="s">
        <v>3381</v>
      </c>
      <c r="N39" t="s">
        <v>3382</v>
      </c>
      <c r="O39" t="s">
        <v>3383</v>
      </c>
      <c r="P39" t="s">
        <v>3384</v>
      </c>
      <c r="Q39" t="s">
        <v>3420</v>
      </c>
      <c r="R39" t="s">
        <v>3386</v>
      </c>
      <c r="S39" t="s">
        <v>3387</v>
      </c>
      <c r="T39" t="s">
        <v>3388</v>
      </c>
      <c r="U39" t="s">
        <v>3558</v>
      </c>
      <c r="V39" t="s">
        <v>3559</v>
      </c>
      <c r="W39" t="s">
        <v>3560</v>
      </c>
      <c r="X39" t="s">
        <v>3391</v>
      </c>
      <c r="Y39" t="s">
        <v>3392</v>
      </c>
      <c r="Z39" t="s">
        <v>3421</v>
      </c>
      <c r="AA39" t="s">
        <v>3419</v>
      </c>
      <c r="AB39" t="s">
        <v>3419</v>
      </c>
      <c r="AC39" t="s">
        <v>3422</v>
      </c>
      <c r="AD39">
        <v>958109</v>
      </c>
    </row>
    <row r="40" spans="1:30" x14ac:dyDescent="0.25">
      <c r="A40" s="46" t="s">
        <v>2765</v>
      </c>
      <c r="B40" t="s">
        <v>3372</v>
      </c>
      <c r="C40" t="s">
        <v>3373</v>
      </c>
      <c r="D40" t="s">
        <v>3583</v>
      </c>
      <c r="E40" t="s">
        <v>3375</v>
      </c>
      <c r="F40">
        <v>0</v>
      </c>
      <c r="G40" t="s">
        <v>3584</v>
      </c>
      <c r="H40">
        <v>16</v>
      </c>
      <c r="I40" t="s">
        <v>3377</v>
      </c>
      <c r="J40" t="s">
        <v>3378</v>
      </c>
      <c r="K40" t="s">
        <v>3418</v>
      </c>
      <c r="L40" t="s">
        <v>3419</v>
      </c>
      <c r="M40" t="s">
        <v>3381</v>
      </c>
      <c r="N40" t="s">
        <v>3382</v>
      </c>
      <c r="O40" t="s">
        <v>3383</v>
      </c>
      <c r="P40" t="s">
        <v>3384</v>
      </c>
      <c r="Q40" t="s">
        <v>3420</v>
      </c>
      <c r="R40" t="s">
        <v>3386</v>
      </c>
      <c r="S40" t="s">
        <v>3387</v>
      </c>
      <c r="T40" t="s">
        <v>3388</v>
      </c>
      <c r="U40" t="s">
        <v>3558</v>
      </c>
      <c r="V40" t="s">
        <v>3559</v>
      </c>
      <c r="W40" t="s">
        <v>3560</v>
      </c>
      <c r="X40" t="s">
        <v>3391</v>
      </c>
      <c r="Y40" t="s">
        <v>3392</v>
      </c>
      <c r="Z40" t="s">
        <v>3421</v>
      </c>
      <c r="AA40" t="s">
        <v>3419</v>
      </c>
      <c r="AB40" t="s">
        <v>3419</v>
      </c>
      <c r="AC40" t="s">
        <v>3422</v>
      </c>
      <c r="AD40">
        <v>958109</v>
      </c>
    </row>
    <row r="41" spans="1:30" x14ac:dyDescent="0.25">
      <c r="A41" s="46" t="s">
        <v>2789</v>
      </c>
      <c r="B41" t="s">
        <v>3372</v>
      </c>
      <c r="C41" t="s">
        <v>3373</v>
      </c>
      <c r="D41" t="s">
        <v>3585</v>
      </c>
      <c r="E41" t="s">
        <v>3375</v>
      </c>
      <c r="F41">
        <v>1</v>
      </c>
      <c r="G41" t="s">
        <v>3586</v>
      </c>
      <c r="H41">
        <v>16</v>
      </c>
      <c r="I41" t="s">
        <v>3377</v>
      </c>
      <c r="J41" t="s">
        <v>3378</v>
      </c>
      <c r="K41" t="s">
        <v>3587</v>
      </c>
      <c r="L41" t="s">
        <v>3481</v>
      </c>
      <c r="M41" t="s">
        <v>3381</v>
      </c>
      <c r="N41" t="s">
        <v>3382</v>
      </c>
      <c r="O41" t="s">
        <v>3383</v>
      </c>
      <c r="P41" t="s">
        <v>3384</v>
      </c>
      <c r="Q41" t="s">
        <v>3482</v>
      </c>
      <c r="R41" t="s">
        <v>3386</v>
      </c>
      <c r="S41" t="s">
        <v>3387</v>
      </c>
      <c r="T41" t="s">
        <v>3388</v>
      </c>
      <c r="U41" t="s">
        <v>3548</v>
      </c>
      <c r="V41" t="s">
        <v>3549</v>
      </c>
      <c r="W41" t="s">
        <v>3560</v>
      </c>
      <c r="X41" t="s">
        <v>3391</v>
      </c>
      <c r="Y41" t="s">
        <v>3392</v>
      </c>
      <c r="Z41" t="s">
        <v>3484</v>
      </c>
      <c r="AA41" t="s">
        <v>3481</v>
      </c>
      <c r="AB41" t="s">
        <v>3481</v>
      </c>
      <c r="AC41" t="s">
        <v>3485</v>
      </c>
      <c r="AD41">
        <v>961676</v>
      </c>
    </row>
    <row r="42" spans="1:30" x14ac:dyDescent="0.25">
      <c r="A42" s="46" t="s">
        <v>2792</v>
      </c>
      <c r="B42" t="s">
        <v>3372</v>
      </c>
      <c r="C42" t="s">
        <v>3373</v>
      </c>
      <c r="D42" t="s">
        <v>3588</v>
      </c>
      <c r="E42" t="s">
        <v>3375</v>
      </c>
      <c r="F42">
        <v>1</v>
      </c>
      <c r="G42" t="s">
        <v>3589</v>
      </c>
      <c r="H42">
        <v>16</v>
      </c>
      <c r="I42" t="s">
        <v>3377</v>
      </c>
      <c r="J42" t="s">
        <v>3378</v>
      </c>
      <c r="K42" t="s">
        <v>3587</v>
      </c>
      <c r="L42" t="s">
        <v>3481</v>
      </c>
      <c r="M42" t="s">
        <v>3381</v>
      </c>
      <c r="N42" t="s">
        <v>3382</v>
      </c>
      <c r="O42" t="s">
        <v>3383</v>
      </c>
      <c r="P42" t="s">
        <v>3384</v>
      </c>
      <c r="Q42" t="s">
        <v>3482</v>
      </c>
      <c r="R42" t="s">
        <v>3386</v>
      </c>
      <c r="S42" t="s">
        <v>3387</v>
      </c>
      <c r="T42" t="s">
        <v>3388</v>
      </c>
      <c r="U42" t="s">
        <v>3548</v>
      </c>
      <c r="V42" t="s">
        <v>3549</v>
      </c>
      <c r="W42" t="s">
        <v>3560</v>
      </c>
      <c r="X42" t="s">
        <v>3391</v>
      </c>
      <c r="Y42" t="s">
        <v>3392</v>
      </c>
      <c r="Z42" t="s">
        <v>3484</v>
      </c>
      <c r="AA42" t="s">
        <v>3481</v>
      </c>
      <c r="AB42" t="s">
        <v>3481</v>
      </c>
      <c r="AC42" t="s">
        <v>3485</v>
      </c>
      <c r="AD42">
        <v>961676</v>
      </c>
    </row>
    <row r="43" spans="1:30" x14ac:dyDescent="0.25">
      <c r="A43" s="46" t="s">
        <v>2795</v>
      </c>
      <c r="B43" t="s">
        <v>3372</v>
      </c>
      <c r="C43" t="s">
        <v>3373</v>
      </c>
      <c r="D43" t="s">
        <v>3590</v>
      </c>
      <c r="E43" t="s">
        <v>3375</v>
      </c>
      <c r="F43">
        <v>1</v>
      </c>
      <c r="G43" t="s">
        <v>3591</v>
      </c>
      <c r="H43">
        <v>16</v>
      </c>
      <c r="I43" t="s">
        <v>3377</v>
      </c>
      <c r="J43" t="s">
        <v>3378</v>
      </c>
      <c r="K43" t="s">
        <v>3587</v>
      </c>
      <c r="L43" t="s">
        <v>3481</v>
      </c>
      <c r="M43" t="s">
        <v>3381</v>
      </c>
      <c r="N43" t="s">
        <v>3382</v>
      </c>
      <c r="O43" t="s">
        <v>3383</v>
      </c>
      <c r="P43" t="s">
        <v>3384</v>
      </c>
      <c r="Q43" t="s">
        <v>3482</v>
      </c>
      <c r="R43" t="s">
        <v>3386</v>
      </c>
      <c r="S43" t="s">
        <v>3387</v>
      </c>
      <c r="T43" t="s">
        <v>3388</v>
      </c>
      <c r="U43" t="s">
        <v>3548</v>
      </c>
      <c r="V43" t="s">
        <v>3549</v>
      </c>
      <c r="W43" t="s">
        <v>3560</v>
      </c>
      <c r="X43" t="s">
        <v>3391</v>
      </c>
      <c r="Y43" t="s">
        <v>3392</v>
      </c>
      <c r="Z43" t="s">
        <v>3484</v>
      </c>
      <c r="AA43" t="s">
        <v>3481</v>
      </c>
      <c r="AB43" t="s">
        <v>3481</v>
      </c>
      <c r="AC43" t="s">
        <v>3485</v>
      </c>
      <c r="AD43">
        <v>961676</v>
      </c>
    </row>
    <row r="44" spans="1:30" x14ac:dyDescent="0.25">
      <c r="A44" s="46" t="s">
        <v>2798</v>
      </c>
      <c r="B44" t="s">
        <v>3372</v>
      </c>
      <c r="C44" t="s">
        <v>3373</v>
      </c>
      <c r="D44" t="s">
        <v>3592</v>
      </c>
      <c r="E44" t="s">
        <v>3375</v>
      </c>
      <c r="F44">
        <v>1</v>
      </c>
      <c r="G44" t="s">
        <v>3593</v>
      </c>
      <c r="H44">
        <v>16</v>
      </c>
      <c r="I44" t="s">
        <v>3377</v>
      </c>
      <c r="J44" t="s">
        <v>3378</v>
      </c>
      <c r="K44" t="s">
        <v>3587</v>
      </c>
      <c r="L44" t="s">
        <v>3481</v>
      </c>
      <c r="M44" t="s">
        <v>3381</v>
      </c>
      <c r="N44" t="s">
        <v>3382</v>
      </c>
      <c r="O44" t="s">
        <v>3383</v>
      </c>
      <c r="P44" t="s">
        <v>3384</v>
      </c>
      <c r="Q44" t="s">
        <v>3482</v>
      </c>
      <c r="R44" t="s">
        <v>3386</v>
      </c>
      <c r="S44" t="s">
        <v>3387</v>
      </c>
      <c r="T44" t="s">
        <v>3388</v>
      </c>
      <c r="U44" t="s">
        <v>3548</v>
      </c>
      <c r="V44" t="s">
        <v>3549</v>
      </c>
      <c r="W44" t="s">
        <v>3560</v>
      </c>
      <c r="X44" t="s">
        <v>3391</v>
      </c>
      <c r="Y44" t="s">
        <v>3392</v>
      </c>
      <c r="Z44" t="s">
        <v>3484</v>
      </c>
      <c r="AA44" t="s">
        <v>3481</v>
      </c>
      <c r="AB44" t="s">
        <v>3481</v>
      </c>
      <c r="AC44" t="s">
        <v>3485</v>
      </c>
      <c r="AD44">
        <v>961676</v>
      </c>
    </row>
    <row r="45" spans="1:30" x14ac:dyDescent="0.25">
      <c r="A45" s="46" t="s">
        <v>2614</v>
      </c>
      <c r="B45" t="s">
        <v>3372</v>
      </c>
      <c r="C45" t="s">
        <v>3373</v>
      </c>
      <c r="D45" t="s">
        <v>3594</v>
      </c>
      <c r="E45" t="s">
        <v>3375</v>
      </c>
      <c r="F45">
        <v>2</v>
      </c>
      <c r="G45" t="s">
        <v>3595</v>
      </c>
      <c r="H45">
        <v>16</v>
      </c>
      <c r="I45" t="s">
        <v>3377</v>
      </c>
      <c r="J45" t="s">
        <v>3378</v>
      </c>
      <c r="K45" t="s">
        <v>3438</v>
      </c>
      <c r="L45" t="s">
        <v>3596</v>
      </c>
      <c r="M45" t="s">
        <v>3381</v>
      </c>
      <c r="N45" t="s">
        <v>3382</v>
      </c>
      <c r="O45" t="s">
        <v>3383</v>
      </c>
      <c r="P45" t="s">
        <v>3384</v>
      </c>
      <c r="Q45" t="s">
        <v>3597</v>
      </c>
      <c r="R45" t="s">
        <v>3386</v>
      </c>
      <c r="S45" t="s">
        <v>3387</v>
      </c>
      <c r="T45" t="s">
        <v>3388</v>
      </c>
      <c r="U45" t="s">
        <v>3598</v>
      </c>
      <c r="V45" t="s">
        <v>3599</v>
      </c>
      <c r="W45" t="s">
        <v>3456</v>
      </c>
      <c r="X45" t="s">
        <v>3391</v>
      </c>
      <c r="Y45" t="s">
        <v>3392</v>
      </c>
      <c r="Z45" t="s">
        <v>3600</v>
      </c>
      <c r="AA45" t="s">
        <v>3596</v>
      </c>
      <c r="AB45" t="s">
        <v>3596</v>
      </c>
      <c r="AC45" t="s">
        <v>3601</v>
      </c>
      <c r="AD45">
        <v>452617</v>
      </c>
    </row>
    <row r="46" spans="1:30" x14ac:dyDescent="0.25">
      <c r="A46" s="46" t="s">
        <v>2617</v>
      </c>
      <c r="B46" t="s">
        <v>3372</v>
      </c>
      <c r="C46" t="s">
        <v>3373</v>
      </c>
      <c r="D46" t="s">
        <v>3602</v>
      </c>
      <c r="E46" t="s">
        <v>3375</v>
      </c>
      <c r="F46">
        <v>2</v>
      </c>
      <c r="G46" t="s">
        <v>3603</v>
      </c>
      <c r="H46">
        <v>16</v>
      </c>
      <c r="I46" t="s">
        <v>3377</v>
      </c>
      <c r="J46" t="s">
        <v>3378</v>
      </c>
      <c r="K46" t="s">
        <v>3438</v>
      </c>
      <c r="L46" t="s">
        <v>3596</v>
      </c>
      <c r="M46" t="s">
        <v>3381</v>
      </c>
      <c r="N46" t="s">
        <v>3382</v>
      </c>
      <c r="O46" t="s">
        <v>3383</v>
      </c>
      <c r="P46" t="s">
        <v>3384</v>
      </c>
      <c r="Q46" t="s">
        <v>3597</v>
      </c>
      <c r="R46" t="s">
        <v>3386</v>
      </c>
      <c r="S46" t="s">
        <v>3387</v>
      </c>
      <c r="T46" t="s">
        <v>3388</v>
      </c>
      <c r="U46" t="s">
        <v>3598</v>
      </c>
      <c r="V46" t="s">
        <v>3599</v>
      </c>
      <c r="W46" t="s">
        <v>3456</v>
      </c>
      <c r="X46" t="s">
        <v>3391</v>
      </c>
      <c r="Y46" t="s">
        <v>3392</v>
      </c>
      <c r="Z46" t="s">
        <v>3600</v>
      </c>
      <c r="AA46" t="s">
        <v>3596</v>
      </c>
      <c r="AB46" t="s">
        <v>3596</v>
      </c>
      <c r="AC46" t="s">
        <v>3601</v>
      </c>
      <c r="AD46">
        <v>452617</v>
      </c>
    </row>
    <row r="47" spans="1:30" x14ac:dyDescent="0.25">
      <c r="A47" s="46" t="s">
        <v>1319</v>
      </c>
      <c r="B47" t="s">
        <v>3372</v>
      </c>
      <c r="C47" t="s">
        <v>3373</v>
      </c>
      <c r="D47" t="s">
        <v>3604</v>
      </c>
      <c r="E47" t="s">
        <v>3375</v>
      </c>
      <c r="F47">
        <v>0</v>
      </c>
      <c r="G47" t="s">
        <v>3605</v>
      </c>
      <c r="H47">
        <v>16</v>
      </c>
      <c r="I47" t="s">
        <v>3377</v>
      </c>
      <c r="J47" t="s">
        <v>3378</v>
      </c>
      <c r="K47" t="s">
        <v>3606</v>
      </c>
      <c r="L47" t="s">
        <v>3607</v>
      </c>
      <c r="M47" t="s">
        <v>3381</v>
      </c>
      <c r="N47" t="s">
        <v>3382</v>
      </c>
      <c r="O47" t="s">
        <v>3383</v>
      </c>
      <c r="P47" t="s">
        <v>3384</v>
      </c>
      <c r="Q47" t="s">
        <v>3608</v>
      </c>
      <c r="R47" t="s">
        <v>3609</v>
      </c>
      <c r="S47" t="s">
        <v>3387</v>
      </c>
      <c r="T47" t="s">
        <v>3388</v>
      </c>
      <c r="U47" t="s">
        <v>3410</v>
      </c>
      <c r="V47" t="s">
        <v>3411</v>
      </c>
      <c r="W47" t="s">
        <v>3412</v>
      </c>
      <c r="X47" t="s">
        <v>3391</v>
      </c>
      <c r="Y47" t="s">
        <v>3392</v>
      </c>
      <c r="Z47" t="s">
        <v>3610</v>
      </c>
      <c r="AA47" t="s">
        <v>3607</v>
      </c>
      <c r="AB47" t="s">
        <v>3607</v>
      </c>
      <c r="AC47" t="s">
        <v>3611</v>
      </c>
      <c r="AD47">
        <v>959261</v>
      </c>
    </row>
    <row r="48" spans="1:30" x14ac:dyDescent="0.25">
      <c r="A48" s="46" t="s">
        <v>1330</v>
      </c>
      <c r="B48" t="s">
        <v>3372</v>
      </c>
      <c r="C48" t="s">
        <v>3373</v>
      </c>
      <c r="D48" t="s">
        <v>3612</v>
      </c>
      <c r="E48" t="s">
        <v>3375</v>
      </c>
      <c r="F48">
        <v>0</v>
      </c>
      <c r="G48" t="s">
        <v>3613</v>
      </c>
      <c r="H48">
        <v>16</v>
      </c>
      <c r="I48" t="s">
        <v>3377</v>
      </c>
      <c r="J48" t="s">
        <v>3378</v>
      </c>
      <c r="K48" t="s">
        <v>3606</v>
      </c>
      <c r="L48" t="s">
        <v>3614</v>
      </c>
      <c r="M48" t="s">
        <v>3381</v>
      </c>
      <c r="N48" t="s">
        <v>3382</v>
      </c>
      <c r="O48" t="s">
        <v>3383</v>
      </c>
      <c r="P48" t="s">
        <v>3384</v>
      </c>
      <c r="Q48" t="s">
        <v>3615</v>
      </c>
      <c r="R48" t="s">
        <v>3386</v>
      </c>
      <c r="S48" t="s">
        <v>3387</v>
      </c>
      <c r="T48" t="s">
        <v>3388</v>
      </c>
      <c r="U48" t="s">
        <v>3410</v>
      </c>
      <c r="V48" t="s">
        <v>3411</v>
      </c>
      <c r="W48" t="s">
        <v>3456</v>
      </c>
      <c r="X48" t="s">
        <v>3391</v>
      </c>
      <c r="Y48" t="s">
        <v>3392</v>
      </c>
      <c r="Z48" t="s">
        <v>3616</v>
      </c>
      <c r="AA48" t="s">
        <v>3614</v>
      </c>
      <c r="AB48" t="s">
        <v>3614</v>
      </c>
      <c r="AC48" t="s">
        <v>3617</v>
      </c>
      <c r="AD48">
        <v>959261</v>
      </c>
    </row>
    <row r="49" spans="1:30" x14ac:dyDescent="0.25">
      <c r="A49" s="46" t="s">
        <v>1333</v>
      </c>
      <c r="B49" t="s">
        <v>3372</v>
      </c>
      <c r="C49" t="s">
        <v>3373</v>
      </c>
      <c r="D49" t="s">
        <v>3618</v>
      </c>
      <c r="E49" t="s">
        <v>3375</v>
      </c>
      <c r="F49">
        <v>0</v>
      </c>
      <c r="G49" t="s">
        <v>3619</v>
      </c>
      <c r="H49">
        <v>16</v>
      </c>
      <c r="I49" t="s">
        <v>3377</v>
      </c>
      <c r="J49" t="s">
        <v>3378</v>
      </c>
      <c r="K49" t="s">
        <v>3606</v>
      </c>
      <c r="L49" t="s">
        <v>3614</v>
      </c>
      <c r="M49" t="s">
        <v>3381</v>
      </c>
      <c r="N49" t="s">
        <v>3382</v>
      </c>
      <c r="O49" t="s">
        <v>3383</v>
      </c>
      <c r="P49" t="s">
        <v>3384</v>
      </c>
      <c r="Q49" t="s">
        <v>3615</v>
      </c>
      <c r="R49" t="s">
        <v>3386</v>
      </c>
      <c r="S49" t="s">
        <v>3387</v>
      </c>
      <c r="T49" t="s">
        <v>3388</v>
      </c>
      <c r="U49" t="s">
        <v>3410</v>
      </c>
      <c r="V49" t="s">
        <v>3411</v>
      </c>
      <c r="W49" t="s">
        <v>3456</v>
      </c>
      <c r="X49" t="s">
        <v>3391</v>
      </c>
      <c r="Y49" t="s">
        <v>3392</v>
      </c>
      <c r="Z49" t="s">
        <v>3616</v>
      </c>
      <c r="AA49" t="s">
        <v>3614</v>
      </c>
      <c r="AB49" t="s">
        <v>3614</v>
      </c>
      <c r="AC49" t="s">
        <v>3617</v>
      </c>
      <c r="AD49">
        <v>959261</v>
      </c>
    </row>
    <row r="50" spans="1:30" x14ac:dyDescent="0.25">
      <c r="A50" s="46" t="s">
        <v>1336</v>
      </c>
      <c r="B50" t="s">
        <v>3372</v>
      </c>
      <c r="C50" t="s">
        <v>3373</v>
      </c>
      <c r="D50" t="s">
        <v>3620</v>
      </c>
      <c r="E50" t="s">
        <v>3375</v>
      </c>
      <c r="F50">
        <v>0</v>
      </c>
      <c r="G50" t="s">
        <v>3621</v>
      </c>
      <c r="H50">
        <v>16</v>
      </c>
      <c r="I50" t="s">
        <v>3377</v>
      </c>
      <c r="J50" t="s">
        <v>3378</v>
      </c>
      <c r="K50" t="s">
        <v>3606</v>
      </c>
      <c r="L50" t="s">
        <v>3614</v>
      </c>
      <c r="M50" t="s">
        <v>3381</v>
      </c>
      <c r="N50" t="s">
        <v>3382</v>
      </c>
      <c r="O50" t="s">
        <v>3383</v>
      </c>
      <c r="P50" t="s">
        <v>3384</v>
      </c>
      <c r="Q50" t="s">
        <v>3615</v>
      </c>
      <c r="R50" t="s">
        <v>3386</v>
      </c>
      <c r="S50" t="s">
        <v>3387</v>
      </c>
      <c r="T50" t="s">
        <v>3388</v>
      </c>
      <c r="U50" t="s">
        <v>3410</v>
      </c>
      <c r="V50" t="s">
        <v>3411</v>
      </c>
      <c r="W50" t="s">
        <v>3456</v>
      </c>
      <c r="X50" t="s">
        <v>3391</v>
      </c>
      <c r="Y50" t="s">
        <v>3392</v>
      </c>
      <c r="Z50" t="s">
        <v>3616</v>
      </c>
      <c r="AA50" t="s">
        <v>3614</v>
      </c>
      <c r="AB50" t="s">
        <v>3614</v>
      </c>
      <c r="AC50" t="s">
        <v>3617</v>
      </c>
      <c r="AD50">
        <v>959261</v>
      </c>
    </row>
    <row r="51" spans="1:30" x14ac:dyDescent="0.25">
      <c r="A51" s="46" t="s">
        <v>1338</v>
      </c>
      <c r="B51" t="s">
        <v>3372</v>
      </c>
      <c r="C51" t="s">
        <v>3373</v>
      </c>
      <c r="D51" t="s">
        <v>3622</v>
      </c>
      <c r="E51" t="s">
        <v>3375</v>
      </c>
      <c r="F51">
        <v>0</v>
      </c>
      <c r="G51" t="s">
        <v>3623</v>
      </c>
      <c r="H51">
        <v>16</v>
      </c>
      <c r="I51" t="s">
        <v>3377</v>
      </c>
      <c r="J51" t="s">
        <v>3378</v>
      </c>
      <c r="K51" t="s">
        <v>3606</v>
      </c>
      <c r="L51" t="s">
        <v>3614</v>
      </c>
      <c r="M51" t="s">
        <v>3381</v>
      </c>
      <c r="N51" t="s">
        <v>3382</v>
      </c>
      <c r="O51" t="s">
        <v>3383</v>
      </c>
      <c r="P51" t="s">
        <v>3384</v>
      </c>
      <c r="Q51" t="s">
        <v>3615</v>
      </c>
      <c r="R51" t="s">
        <v>3386</v>
      </c>
      <c r="S51" t="s">
        <v>3387</v>
      </c>
      <c r="T51" t="s">
        <v>3388</v>
      </c>
      <c r="U51" t="s">
        <v>3410</v>
      </c>
      <c r="V51" t="s">
        <v>3411</v>
      </c>
      <c r="W51" t="s">
        <v>3456</v>
      </c>
      <c r="X51" t="s">
        <v>3391</v>
      </c>
      <c r="Y51" t="s">
        <v>3392</v>
      </c>
      <c r="Z51" t="s">
        <v>3616</v>
      </c>
      <c r="AA51" t="s">
        <v>3614</v>
      </c>
      <c r="AB51" t="s">
        <v>3614</v>
      </c>
      <c r="AC51" t="s">
        <v>3617</v>
      </c>
      <c r="AD51">
        <v>959261</v>
      </c>
    </row>
    <row r="52" spans="1:30" x14ac:dyDescent="0.25">
      <c r="A52" s="46" t="s">
        <v>1340</v>
      </c>
      <c r="B52" t="s">
        <v>3372</v>
      </c>
      <c r="C52" t="s">
        <v>3373</v>
      </c>
      <c r="D52" t="s">
        <v>3624</v>
      </c>
      <c r="E52" t="s">
        <v>3375</v>
      </c>
      <c r="F52">
        <v>0</v>
      </c>
      <c r="G52" t="s">
        <v>3625</v>
      </c>
      <c r="H52">
        <v>16</v>
      </c>
      <c r="I52" t="s">
        <v>3377</v>
      </c>
      <c r="J52" t="s">
        <v>3378</v>
      </c>
      <c r="K52" t="s">
        <v>3606</v>
      </c>
      <c r="L52" t="s">
        <v>3614</v>
      </c>
      <c r="M52" t="s">
        <v>3381</v>
      </c>
      <c r="N52" t="s">
        <v>3382</v>
      </c>
      <c r="O52" t="s">
        <v>3383</v>
      </c>
      <c r="P52" t="s">
        <v>3384</v>
      </c>
      <c r="Q52" t="s">
        <v>3615</v>
      </c>
      <c r="R52" t="s">
        <v>3386</v>
      </c>
      <c r="S52" t="s">
        <v>3387</v>
      </c>
      <c r="T52" t="s">
        <v>3388</v>
      </c>
      <c r="U52" t="s">
        <v>3410</v>
      </c>
      <c r="V52" t="s">
        <v>3411</v>
      </c>
      <c r="W52" t="s">
        <v>3456</v>
      </c>
      <c r="X52" t="s">
        <v>3391</v>
      </c>
      <c r="Y52" t="s">
        <v>3392</v>
      </c>
      <c r="Z52" t="s">
        <v>3616</v>
      </c>
      <c r="AA52" t="s">
        <v>3614</v>
      </c>
      <c r="AB52" t="s">
        <v>3614</v>
      </c>
      <c r="AC52" t="s">
        <v>3617</v>
      </c>
      <c r="AD52">
        <v>959261</v>
      </c>
    </row>
    <row r="53" spans="1:30" x14ac:dyDescent="0.25">
      <c r="A53" s="46" t="s">
        <v>1294</v>
      </c>
      <c r="B53" t="s">
        <v>3372</v>
      </c>
      <c r="C53" t="s">
        <v>3373</v>
      </c>
      <c r="D53" t="s">
        <v>3626</v>
      </c>
      <c r="E53" t="s">
        <v>3375</v>
      </c>
      <c r="F53">
        <v>1</v>
      </c>
      <c r="G53" t="s">
        <v>3627</v>
      </c>
      <c r="H53">
        <v>16</v>
      </c>
      <c r="I53" t="s">
        <v>3377</v>
      </c>
      <c r="J53" t="s">
        <v>3378</v>
      </c>
      <c r="K53" t="s">
        <v>3438</v>
      </c>
      <c r="L53" t="s">
        <v>3596</v>
      </c>
      <c r="M53" t="s">
        <v>3381</v>
      </c>
      <c r="N53" t="s">
        <v>3382</v>
      </c>
      <c r="O53" t="s">
        <v>3383</v>
      </c>
      <c r="P53" t="s">
        <v>3384</v>
      </c>
      <c r="Q53" t="s">
        <v>3597</v>
      </c>
      <c r="R53" t="s">
        <v>3386</v>
      </c>
      <c r="S53" t="s">
        <v>3387</v>
      </c>
      <c r="T53" t="s">
        <v>3388</v>
      </c>
      <c r="U53" t="s">
        <v>3598</v>
      </c>
      <c r="V53" t="s">
        <v>3599</v>
      </c>
      <c r="W53" t="s">
        <v>3456</v>
      </c>
      <c r="X53" t="s">
        <v>3391</v>
      </c>
      <c r="Y53" t="s">
        <v>3392</v>
      </c>
      <c r="Z53" t="s">
        <v>3600</v>
      </c>
      <c r="AA53" t="s">
        <v>3596</v>
      </c>
      <c r="AB53" t="s">
        <v>3596</v>
      </c>
      <c r="AC53" t="s">
        <v>3601</v>
      </c>
      <c r="AD53">
        <v>452617</v>
      </c>
    </row>
    <row r="54" spans="1:30" x14ac:dyDescent="0.25">
      <c r="A54" s="46" t="s">
        <v>1299</v>
      </c>
      <c r="B54" t="s">
        <v>3372</v>
      </c>
      <c r="C54" t="s">
        <v>3373</v>
      </c>
      <c r="D54" t="s">
        <v>3628</v>
      </c>
      <c r="E54" t="s">
        <v>3375</v>
      </c>
      <c r="F54">
        <v>1</v>
      </c>
      <c r="G54" t="s">
        <v>3629</v>
      </c>
      <c r="H54">
        <v>16</v>
      </c>
      <c r="I54" t="s">
        <v>3377</v>
      </c>
      <c r="J54" t="s">
        <v>3378</v>
      </c>
      <c r="K54" t="s">
        <v>3438</v>
      </c>
      <c r="L54" t="s">
        <v>3596</v>
      </c>
      <c r="M54" t="s">
        <v>3381</v>
      </c>
      <c r="N54" t="s">
        <v>3382</v>
      </c>
      <c r="O54" t="s">
        <v>3383</v>
      </c>
      <c r="P54" t="s">
        <v>3384</v>
      </c>
      <c r="Q54" t="s">
        <v>3597</v>
      </c>
      <c r="R54" t="s">
        <v>3386</v>
      </c>
      <c r="S54" t="s">
        <v>3387</v>
      </c>
      <c r="T54" t="s">
        <v>3388</v>
      </c>
      <c r="U54" t="s">
        <v>3598</v>
      </c>
      <c r="V54" t="s">
        <v>3599</v>
      </c>
      <c r="W54" t="s">
        <v>3456</v>
      </c>
      <c r="X54" t="s">
        <v>3391</v>
      </c>
      <c r="Y54" t="s">
        <v>3392</v>
      </c>
      <c r="Z54" t="s">
        <v>3600</v>
      </c>
      <c r="AA54" t="s">
        <v>3596</v>
      </c>
      <c r="AB54" t="s">
        <v>3596</v>
      </c>
      <c r="AC54" t="s">
        <v>3601</v>
      </c>
      <c r="AD54">
        <v>452617</v>
      </c>
    </row>
    <row r="55" spans="1:30" x14ac:dyDescent="0.25">
      <c r="A55" s="46" t="s">
        <v>1301</v>
      </c>
      <c r="B55" t="s">
        <v>3372</v>
      </c>
      <c r="C55" t="s">
        <v>3373</v>
      </c>
      <c r="D55" t="s">
        <v>3630</v>
      </c>
      <c r="E55" t="s">
        <v>3375</v>
      </c>
      <c r="F55">
        <v>1</v>
      </c>
      <c r="G55" t="s">
        <v>3631</v>
      </c>
      <c r="H55">
        <v>16</v>
      </c>
      <c r="I55" t="s">
        <v>3377</v>
      </c>
      <c r="J55" t="s">
        <v>3378</v>
      </c>
      <c r="K55" t="s">
        <v>3438</v>
      </c>
      <c r="L55" t="s">
        <v>3596</v>
      </c>
      <c r="M55" t="s">
        <v>3381</v>
      </c>
      <c r="N55" t="s">
        <v>3382</v>
      </c>
      <c r="O55" t="s">
        <v>3383</v>
      </c>
      <c r="P55" t="s">
        <v>3384</v>
      </c>
      <c r="Q55" t="s">
        <v>3597</v>
      </c>
      <c r="R55" t="s">
        <v>3386</v>
      </c>
      <c r="S55" t="s">
        <v>3387</v>
      </c>
      <c r="T55" t="s">
        <v>3388</v>
      </c>
      <c r="U55" t="s">
        <v>3598</v>
      </c>
      <c r="V55" t="s">
        <v>3599</v>
      </c>
      <c r="W55" t="s">
        <v>3456</v>
      </c>
      <c r="X55" t="s">
        <v>3391</v>
      </c>
      <c r="Y55" t="s">
        <v>3392</v>
      </c>
      <c r="Z55" t="s">
        <v>3600</v>
      </c>
      <c r="AA55" t="s">
        <v>3596</v>
      </c>
      <c r="AB55" t="s">
        <v>3596</v>
      </c>
      <c r="AC55" t="s">
        <v>3601</v>
      </c>
      <c r="AD55">
        <v>452617</v>
      </c>
    </row>
    <row r="56" spans="1:30" x14ac:dyDescent="0.25">
      <c r="A56" s="46" t="s">
        <v>1303</v>
      </c>
      <c r="B56" t="s">
        <v>3372</v>
      </c>
      <c r="C56" t="s">
        <v>3373</v>
      </c>
      <c r="D56" t="s">
        <v>3632</v>
      </c>
      <c r="E56" t="s">
        <v>3375</v>
      </c>
      <c r="F56">
        <v>1</v>
      </c>
      <c r="G56" t="s">
        <v>3633</v>
      </c>
      <c r="H56">
        <v>16</v>
      </c>
      <c r="I56" t="s">
        <v>3377</v>
      </c>
      <c r="J56" t="s">
        <v>3378</v>
      </c>
      <c r="K56" t="s">
        <v>3438</v>
      </c>
      <c r="L56" t="s">
        <v>3596</v>
      </c>
      <c r="M56" t="s">
        <v>3381</v>
      </c>
      <c r="N56" t="s">
        <v>3382</v>
      </c>
      <c r="O56" t="s">
        <v>3383</v>
      </c>
      <c r="P56" t="s">
        <v>3384</v>
      </c>
      <c r="Q56" t="s">
        <v>3597</v>
      </c>
      <c r="R56" t="s">
        <v>3386</v>
      </c>
      <c r="S56" t="s">
        <v>3387</v>
      </c>
      <c r="T56" t="s">
        <v>3388</v>
      </c>
      <c r="U56" t="s">
        <v>3598</v>
      </c>
      <c r="V56" t="s">
        <v>3599</v>
      </c>
      <c r="W56" t="s">
        <v>3456</v>
      </c>
      <c r="X56" t="s">
        <v>3391</v>
      </c>
      <c r="Y56" t="s">
        <v>3392</v>
      </c>
      <c r="Z56" t="s">
        <v>3600</v>
      </c>
      <c r="AA56" t="s">
        <v>3596</v>
      </c>
      <c r="AB56" t="s">
        <v>3596</v>
      </c>
      <c r="AC56" t="s">
        <v>3601</v>
      </c>
      <c r="AD56">
        <v>452617</v>
      </c>
    </row>
    <row r="57" spans="1:30" x14ac:dyDescent="0.25">
      <c r="A57" s="46" t="s">
        <v>1305</v>
      </c>
      <c r="B57" t="s">
        <v>3372</v>
      </c>
      <c r="C57" t="s">
        <v>3373</v>
      </c>
      <c r="D57" t="s">
        <v>3634</v>
      </c>
      <c r="E57" t="s">
        <v>3375</v>
      </c>
      <c r="F57">
        <v>1</v>
      </c>
      <c r="G57" t="s">
        <v>3635</v>
      </c>
      <c r="H57">
        <v>16</v>
      </c>
      <c r="I57" t="s">
        <v>3377</v>
      </c>
      <c r="J57" t="s">
        <v>3378</v>
      </c>
      <c r="K57" t="s">
        <v>3438</v>
      </c>
      <c r="L57" t="s">
        <v>3596</v>
      </c>
      <c r="M57" t="s">
        <v>3381</v>
      </c>
      <c r="N57" t="s">
        <v>3382</v>
      </c>
      <c r="O57" t="s">
        <v>3383</v>
      </c>
      <c r="P57" t="s">
        <v>3384</v>
      </c>
      <c r="Q57" t="s">
        <v>3597</v>
      </c>
      <c r="R57" t="s">
        <v>3386</v>
      </c>
      <c r="S57" t="s">
        <v>3387</v>
      </c>
      <c r="T57" t="s">
        <v>3388</v>
      </c>
      <c r="U57" t="s">
        <v>3598</v>
      </c>
      <c r="V57" t="s">
        <v>3599</v>
      </c>
      <c r="W57" t="s">
        <v>3456</v>
      </c>
      <c r="X57" t="s">
        <v>3391</v>
      </c>
      <c r="Y57" t="s">
        <v>3392</v>
      </c>
      <c r="Z57" t="s">
        <v>3600</v>
      </c>
      <c r="AA57" t="s">
        <v>3596</v>
      </c>
      <c r="AB57" t="s">
        <v>3596</v>
      </c>
      <c r="AC57" t="s">
        <v>3601</v>
      </c>
      <c r="AD57">
        <v>452617</v>
      </c>
    </row>
    <row r="58" spans="1:30" x14ac:dyDescent="0.25">
      <c r="A58" s="46" t="s">
        <v>1307</v>
      </c>
      <c r="B58" t="s">
        <v>3372</v>
      </c>
      <c r="C58" t="s">
        <v>3373</v>
      </c>
      <c r="D58" t="s">
        <v>3636</v>
      </c>
      <c r="E58" t="s">
        <v>3375</v>
      </c>
      <c r="F58">
        <v>1</v>
      </c>
      <c r="G58" t="s">
        <v>3637</v>
      </c>
      <c r="H58">
        <v>16</v>
      </c>
      <c r="I58" t="s">
        <v>3377</v>
      </c>
      <c r="J58" t="s">
        <v>3378</v>
      </c>
      <c r="K58" t="s">
        <v>3438</v>
      </c>
      <c r="L58" t="s">
        <v>3596</v>
      </c>
      <c r="M58" t="s">
        <v>3381</v>
      </c>
      <c r="N58" t="s">
        <v>3382</v>
      </c>
      <c r="O58" t="s">
        <v>3383</v>
      </c>
      <c r="P58" t="s">
        <v>3384</v>
      </c>
      <c r="Q58" t="s">
        <v>3597</v>
      </c>
      <c r="R58" t="s">
        <v>3386</v>
      </c>
      <c r="S58" t="s">
        <v>3387</v>
      </c>
      <c r="T58" t="s">
        <v>3388</v>
      </c>
      <c r="U58" t="s">
        <v>3598</v>
      </c>
      <c r="V58" t="s">
        <v>3599</v>
      </c>
      <c r="W58" t="s">
        <v>3456</v>
      </c>
      <c r="X58" t="s">
        <v>3391</v>
      </c>
      <c r="Y58" t="s">
        <v>3392</v>
      </c>
      <c r="Z58" t="s">
        <v>3600</v>
      </c>
      <c r="AA58" t="s">
        <v>3596</v>
      </c>
      <c r="AB58" t="s">
        <v>3596</v>
      </c>
      <c r="AC58" t="s">
        <v>3601</v>
      </c>
      <c r="AD58">
        <v>452617</v>
      </c>
    </row>
    <row r="59" spans="1:30" x14ac:dyDescent="0.25">
      <c r="A59" s="46" t="s">
        <v>1354</v>
      </c>
      <c r="B59" t="s">
        <v>3372</v>
      </c>
      <c r="C59" t="s">
        <v>3373</v>
      </c>
      <c r="D59" t="s">
        <v>3638</v>
      </c>
      <c r="E59" t="s">
        <v>3375</v>
      </c>
      <c r="F59">
        <v>1</v>
      </c>
      <c r="G59" t="s">
        <v>3639</v>
      </c>
      <c r="H59">
        <v>16</v>
      </c>
      <c r="I59" t="s">
        <v>3377</v>
      </c>
      <c r="J59" t="s">
        <v>3378</v>
      </c>
      <c r="K59" t="s">
        <v>3438</v>
      </c>
      <c r="L59" t="s">
        <v>3596</v>
      </c>
      <c r="M59" t="s">
        <v>3381</v>
      </c>
      <c r="N59" t="s">
        <v>3382</v>
      </c>
      <c r="O59" t="s">
        <v>3383</v>
      </c>
      <c r="P59" t="s">
        <v>3384</v>
      </c>
      <c r="Q59" t="s">
        <v>3597</v>
      </c>
      <c r="R59" t="s">
        <v>3386</v>
      </c>
      <c r="S59" t="s">
        <v>3387</v>
      </c>
      <c r="T59" t="s">
        <v>3388</v>
      </c>
      <c r="U59" t="s">
        <v>3598</v>
      </c>
      <c r="V59" t="s">
        <v>3599</v>
      </c>
      <c r="W59" t="s">
        <v>3456</v>
      </c>
      <c r="X59" t="s">
        <v>3391</v>
      </c>
      <c r="Y59" t="s">
        <v>3392</v>
      </c>
      <c r="Z59" t="s">
        <v>3600</v>
      </c>
      <c r="AA59" t="s">
        <v>3596</v>
      </c>
      <c r="AB59" t="s">
        <v>3596</v>
      </c>
      <c r="AC59" t="s">
        <v>3601</v>
      </c>
      <c r="AD59">
        <v>452617</v>
      </c>
    </row>
    <row r="60" spans="1:30" x14ac:dyDescent="0.25">
      <c r="A60" s="46" t="s">
        <v>1357</v>
      </c>
      <c r="B60" t="s">
        <v>3372</v>
      </c>
      <c r="C60" t="s">
        <v>3373</v>
      </c>
      <c r="D60" t="s">
        <v>3640</v>
      </c>
      <c r="E60" t="s">
        <v>3375</v>
      </c>
      <c r="F60">
        <v>1</v>
      </c>
      <c r="G60" t="s">
        <v>3641</v>
      </c>
      <c r="H60">
        <v>16</v>
      </c>
      <c r="I60" t="s">
        <v>3377</v>
      </c>
      <c r="J60" t="s">
        <v>3378</v>
      </c>
      <c r="K60" t="s">
        <v>3438</v>
      </c>
      <c r="L60" t="s">
        <v>3596</v>
      </c>
      <c r="M60" t="s">
        <v>3381</v>
      </c>
      <c r="N60" t="s">
        <v>3382</v>
      </c>
      <c r="O60" t="s">
        <v>3383</v>
      </c>
      <c r="P60" t="s">
        <v>3384</v>
      </c>
      <c r="Q60" t="s">
        <v>3597</v>
      </c>
      <c r="R60" t="s">
        <v>3386</v>
      </c>
      <c r="S60" t="s">
        <v>3387</v>
      </c>
      <c r="T60" t="s">
        <v>3388</v>
      </c>
      <c r="U60" t="s">
        <v>3598</v>
      </c>
      <c r="V60" t="s">
        <v>3599</v>
      </c>
      <c r="W60" t="s">
        <v>3456</v>
      </c>
      <c r="X60" t="s">
        <v>3391</v>
      </c>
      <c r="Y60" t="s">
        <v>3392</v>
      </c>
      <c r="Z60" t="s">
        <v>3600</v>
      </c>
      <c r="AA60" t="s">
        <v>3596</v>
      </c>
      <c r="AB60" t="s">
        <v>3596</v>
      </c>
      <c r="AC60" t="s">
        <v>3601</v>
      </c>
      <c r="AD60">
        <v>452617</v>
      </c>
    </row>
    <row r="61" spans="1:30" x14ac:dyDescent="0.25">
      <c r="A61" s="46" t="s">
        <v>1360</v>
      </c>
      <c r="B61" t="s">
        <v>3372</v>
      </c>
      <c r="C61" t="s">
        <v>3373</v>
      </c>
      <c r="D61" t="s">
        <v>3642</v>
      </c>
      <c r="E61" t="s">
        <v>3375</v>
      </c>
      <c r="F61">
        <v>1</v>
      </c>
      <c r="G61" t="s">
        <v>3643</v>
      </c>
      <c r="H61">
        <v>16</v>
      </c>
      <c r="I61" t="s">
        <v>3377</v>
      </c>
      <c r="J61" t="s">
        <v>3378</v>
      </c>
      <c r="K61" t="s">
        <v>3438</v>
      </c>
      <c r="L61" t="s">
        <v>3596</v>
      </c>
      <c r="M61" t="s">
        <v>3381</v>
      </c>
      <c r="N61" t="s">
        <v>3382</v>
      </c>
      <c r="O61" t="s">
        <v>3383</v>
      </c>
      <c r="P61" t="s">
        <v>3384</v>
      </c>
      <c r="Q61" t="s">
        <v>3597</v>
      </c>
      <c r="R61" t="s">
        <v>3386</v>
      </c>
      <c r="S61" t="s">
        <v>3387</v>
      </c>
      <c r="T61" t="s">
        <v>3388</v>
      </c>
      <c r="U61" t="s">
        <v>3598</v>
      </c>
      <c r="V61" t="s">
        <v>3599</v>
      </c>
      <c r="W61" t="s">
        <v>3456</v>
      </c>
      <c r="X61" t="s">
        <v>3391</v>
      </c>
      <c r="Y61" t="s">
        <v>3392</v>
      </c>
      <c r="Z61" t="s">
        <v>3600</v>
      </c>
      <c r="AA61" t="s">
        <v>3596</v>
      </c>
      <c r="AB61" t="s">
        <v>3596</v>
      </c>
      <c r="AC61" t="s">
        <v>3601</v>
      </c>
      <c r="AD61">
        <v>452617</v>
      </c>
    </row>
    <row r="62" spans="1:30" x14ac:dyDescent="0.25">
      <c r="A62" s="46" t="s">
        <v>1363</v>
      </c>
      <c r="B62" t="s">
        <v>3372</v>
      </c>
      <c r="C62" t="s">
        <v>3373</v>
      </c>
      <c r="D62" t="s">
        <v>3644</v>
      </c>
      <c r="E62" t="s">
        <v>3375</v>
      </c>
      <c r="F62">
        <v>1</v>
      </c>
      <c r="G62" t="s">
        <v>3645</v>
      </c>
      <c r="H62">
        <v>16</v>
      </c>
      <c r="I62" t="s">
        <v>3377</v>
      </c>
      <c r="J62" t="s">
        <v>3378</v>
      </c>
      <c r="K62" t="s">
        <v>3438</v>
      </c>
      <c r="L62" t="s">
        <v>3596</v>
      </c>
      <c r="M62" t="s">
        <v>3381</v>
      </c>
      <c r="N62" t="s">
        <v>3382</v>
      </c>
      <c r="O62" t="s">
        <v>3383</v>
      </c>
      <c r="P62" t="s">
        <v>3384</v>
      </c>
      <c r="Q62" t="s">
        <v>3597</v>
      </c>
      <c r="R62" t="s">
        <v>3386</v>
      </c>
      <c r="S62" t="s">
        <v>3387</v>
      </c>
      <c r="T62" t="s">
        <v>3388</v>
      </c>
      <c r="U62" t="s">
        <v>3598</v>
      </c>
      <c r="V62" t="s">
        <v>3599</v>
      </c>
      <c r="W62" t="s">
        <v>3456</v>
      </c>
      <c r="X62" t="s">
        <v>3391</v>
      </c>
      <c r="Y62" t="s">
        <v>3392</v>
      </c>
      <c r="Z62" t="s">
        <v>3600</v>
      </c>
      <c r="AA62" t="s">
        <v>3596</v>
      </c>
      <c r="AB62" t="s">
        <v>3596</v>
      </c>
      <c r="AC62" t="s">
        <v>3601</v>
      </c>
      <c r="AD62">
        <v>452617</v>
      </c>
    </row>
    <row r="63" spans="1:30" x14ac:dyDescent="0.25">
      <c r="A63" s="46" t="s">
        <v>3196</v>
      </c>
      <c r="B63" t="s">
        <v>3372</v>
      </c>
      <c r="C63" t="s">
        <v>3373</v>
      </c>
      <c r="D63" t="s">
        <v>3646</v>
      </c>
      <c r="E63" t="s">
        <v>3375</v>
      </c>
      <c r="F63">
        <v>0</v>
      </c>
      <c r="G63" t="s">
        <v>3647</v>
      </c>
      <c r="H63">
        <v>16</v>
      </c>
      <c r="I63" t="s">
        <v>3377</v>
      </c>
      <c r="J63" t="s">
        <v>3378</v>
      </c>
      <c r="K63" t="s">
        <v>3534</v>
      </c>
      <c r="L63" t="s">
        <v>3648</v>
      </c>
      <c r="M63" t="s">
        <v>3381</v>
      </c>
      <c r="N63" t="s">
        <v>3382</v>
      </c>
      <c r="O63" t="s">
        <v>3383</v>
      </c>
      <c r="P63" t="s">
        <v>3384</v>
      </c>
      <c r="Q63" t="s">
        <v>3649</v>
      </c>
      <c r="R63" t="s">
        <v>3386</v>
      </c>
      <c r="S63" t="s">
        <v>3387</v>
      </c>
      <c r="T63" t="s">
        <v>3388</v>
      </c>
      <c r="U63" t="s">
        <v>3548</v>
      </c>
      <c r="V63" t="s">
        <v>3549</v>
      </c>
      <c r="W63" t="s">
        <v>3456</v>
      </c>
      <c r="X63" t="s">
        <v>3391</v>
      </c>
      <c r="Y63" t="s">
        <v>3392</v>
      </c>
      <c r="Z63" t="s">
        <v>3650</v>
      </c>
      <c r="AA63" t="s">
        <v>3648</v>
      </c>
      <c r="AB63" t="s">
        <v>3648</v>
      </c>
      <c r="AC63" t="s">
        <v>3651</v>
      </c>
      <c r="AD63">
        <v>961676</v>
      </c>
    </row>
    <row r="64" spans="1:30" x14ac:dyDescent="0.25">
      <c r="A64" s="46" t="s">
        <v>3202</v>
      </c>
      <c r="B64" t="s">
        <v>3372</v>
      </c>
      <c r="C64" t="s">
        <v>3373</v>
      </c>
      <c r="D64" t="s">
        <v>3652</v>
      </c>
      <c r="E64" t="s">
        <v>3375</v>
      </c>
      <c r="F64">
        <v>0</v>
      </c>
      <c r="G64" t="s">
        <v>3653</v>
      </c>
      <c r="H64">
        <v>16</v>
      </c>
      <c r="I64" t="s">
        <v>3377</v>
      </c>
      <c r="J64" t="s">
        <v>3378</v>
      </c>
      <c r="K64" t="s">
        <v>3534</v>
      </c>
      <c r="L64" t="s">
        <v>3648</v>
      </c>
      <c r="M64" t="s">
        <v>3381</v>
      </c>
      <c r="N64" t="s">
        <v>3382</v>
      </c>
      <c r="O64" t="s">
        <v>3383</v>
      </c>
      <c r="P64" t="s">
        <v>3384</v>
      </c>
      <c r="Q64" t="s">
        <v>3649</v>
      </c>
      <c r="R64" t="s">
        <v>3386</v>
      </c>
      <c r="S64" t="s">
        <v>3387</v>
      </c>
      <c r="T64" t="s">
        <v>3388</v>
      </c>
      <c r="U64" t="s">
        <v>3548</v>
      </c>
      <c r="V64" t="s">
        <v>3549</v>
      </c>
      <c r="W64" t="s">
        <v>3456</v>
      </c>
      <c r="X64" t="s">
        <v>3391</v>
      </c>
      <c r="Y64" t="s">
        <v>3392</v>
      </c>
      <c r="Z64" t="s">
        <v>3650</v>
      </c>
      <c r="AA64" t="s">
        <v>3648</v>
      </c>
      <c r="AB64" t="s">
        <v>3648</v>
      </c>
      <c r="AC64" t="s">
        <v>3651</v>
      </c>
      <c r="AD64">
        <v>961676</v>
      </c>
    </row>
    <row r="65" spans="1:30" x14ac:dyDescent="0.25">
      <c r="A65" s="46" t="s">
        <v>2389</v>
      </c>
      <c r="B65" t="s">
        <v>3372</v>
      </c>
      <c r="C65" t="s">
        <v>3373</v>
      </c>
      <c r="D65" t="s">
        <v>3654</v>
      </c>
      <c r="E65" t="s">
        <v>3375</v>
      </c>
      <c r="F65">
        <v>0</v>
      </c>
      <c r="G65" t="s">
        <v>3655</v>
      </c>
      <c r="H65">
        <v>16</v>
      </c>
      <c r="I65" t="s">
        <v>3377</v>
      </c>
      <c r="J65" t="s">
        <v>3378</v>
      </c>
      <c r="K65" t="s">
        <v>3606</v>
      </c>
      <c r="L65" t="s">
        <v>3614</v>
      </c>
      <c r="M65" t="s">
        <v>3381</v>
      </c>
      <c r="N65" t="s">
        <v>3382</v>
      </c>
      <c r="O65" t="s">
        <v>3383</v>
      </c>
      <c r="P65" t="s">
        <v>3384</v>
      </c>
      <c r="Q65" t="s">
        <v>3615</v>
      </c>
      <c r="R65" t="s">
        <v>3386</v>
      </c>
      <c r="S65" t="s">
        <v>3387</v>
      </c>
      <c r="T65" t="s">
        <v>3388</v>
      </c>
      <c r="U65" t="s">
        <v>3558</v>
      </c>
      <c r="V65" t="s">
        <v>3559</v>
      </c>
      <c r="W65" t="s">
        <v>3456</v>
      </c>
      <c r="X65" t="s">
        <v>3391</v>
      </c>
      <c r="Y65" t="s">
        <v>3392</v>
      </c>
      <c r="Z65" t="s">
        <v>3616</v>
      </c>
      <c r="AA65" t="s">
        <v>3614</v>
      </c>
      <c r="AB65" t="s">
        <v>3614</v>
      </c>
      <c r="AC65" t="s">
        <v>3617</v>
      </c>
      <c r="AD65">
        <v>958109</v>
      </c>
    </row>
    <row r="66" spans="1:30" x14ac:dyDescent="0.25">
      <c r="A66" s="46" t="s">
        <v>2412</v>
      </c>
      <c r="B66" t="s">
        <v>3372</v>
      </c>
      <c r="C66" t="s">
        <v>3373</v>
      </c>
      <c r="D66" t="s">
        <v>3656</v>
      </c>
      <c r="E66" t="s">
        <v>3375</v>
      </c>
      <c r="F66">
        <v>1</v>
      </c>
      <c r="G66" t="s">
        <v>3657</v>
      </c>
      <c r="H66">
        <v>16</v>
      </c>
      <c r="I66" t="s">
        <v>3377</v>
      </c>
      <c r="J66" t="s">
        <v>3378</v>
      </c>
      <c r="K66" t="s">
        <v>3606</v>
      </c>
      <c r="L66" t="s">
        <v>3398</v>
      </c>
      <c r="M66" t="s">
        <v>3381</v>
      </c>
      <c r="N66" t="s">
        <v>3382</v>
      </c>
      <c r="O66" t="s">
        <v>3383</v>
      </c>
      <c r="P66" t="s">
        <v>3384</v>
      </c>
      <c r="Q66" t="s">
        <v>3399</v>
      </c>
      <c r="R66" t="s">
        <v>3386</v>
      </c>
      <c r="S66" t="s">
        <v>3387</v>
      </c>
      <c r="T66" t="s">
        <v>3388</v>
      </c>
      <c r="U66" t="s">
        <v>3658</v>
      </c>
      <c r="V66" t="s">
        <v>3401</v>
      </c>
      <c r="W66" t="s">
        <v>3658</v>
      </c>
      <c r="X66" t="s">
        <v>3391</v>
      </c>
      <c r="Y66" t="s">
        <v>3392</v>
      </c>
      <c r="Z66" t="s">
        <v>3402</v>
      </c>
      <c r="AA66" t="s">
        <v>3398</v>
      </c>
      <c r="AB66" t="s">
        <v>3398</v>
      </c>
      <c r="AC66" t="s">
        <v>3403</v>
      </c>
      <c r="AD66">
        <v>958933</v>
      </c>
    </row>
    <row r="67" spans="1:30" x14ac:dyDescent="0.25">
      <c r="A67" s="46" t="s">
        <v>2414</v>
      </c>
      <c r="B67" t="s">
        <v>3372</v>
      </c>
      <c r="C67" t="s">
        <v>3373</v>
      </c>
      <c r="D67" t="s">
        <v>3659</v>
      </c>
      <c r="E67" t="s">
        <v>3375</v>
      </c>
      <c r="F67">
        <v>1</v>
      </c>
      <c r="G67" t="s">
        <v>3660</v>
      </c>
      <c r="H67">
        <v>16</v>
      </c>
      <c r="I67" t="s">
        <v>3377</v>
      </c>
      <c r="J67" t="s">
        <v>3378</v>
      </c>
      <c r="K67" t="s">
        <v>3606</v>
      </c>
      <c r="L67" t="s">
        <v>3398</v>
      </c>
      <c r="M67" t="s">
        <v>3381</v>
      </c>
      <c r="N67" t="s">
        <v>3382</v>
      </c>
      <c r="O67" t="s">
        <v>3383</v>
      </c>
      <c r="P67" t="s">
        <v>3384</v>
      </c>
      <c r="Q67" t="s">
        <v>3399</v>
      </c>
      <c r="R67" t="s">
        <v>3386</v>
      </c>
      <c r="S67" t="s">
        <v>3387</v>
      </c>
      <c r="T67" t="s">
        <v>3388</v>
      </c>
      <c r="U67" t="s">
        <v>3658</v>
      </c>
      <c r="V67" t="s">
        <v>3401</v>
      </c>
      <c r="W67" t="s">
        <v>3658</v>
      </c>
      <c r="X67" t="s">
        <v>3391</v>
      </c>
      <c r="Y67" t="s">
        <v>3392</v>
      </c>
      <c r="Z67" t="s">
        <v>3402</v>
      </c>
      <c r="AA67" t="s">
        <v>3398</v>
      </c>
      <c r="AB67" t="s">
        <v>3398</v>
      </c>
      <c r="AC67" t="s">
        <v>3403</v>
      </c>
      <c r="AD67">
        <v>958933</v>
      </c>
    </row>
    <row r="68" spans="1:30" x14ac:dyDescent="0.25">
      <c r="A68" s="46" t="s">
        <v>2416</v>
      </c>
      <c r="B68" t="s">
        <v>3372</v>
      </c>
      <c r="C68" t="s">
        <v>3373</v>
      </c>
      <c r="D68" t="s">
        <v>3661</v>
      </c>
      <c r="E68" t="s">
        <v>3375</v>
      </c>
      <c r="F68">
        <v>1</v>
      </c>
      <c r="G68" t="s">
        <v>3662</v>
      </c>
      <c r="H68">
        <v>16</v>
      </c>
      <c r="I68" t="s">
        <v>3377</v>
      </c>
      <c r="J68" t="s">
        <v>3378</v>
      </c>
      <c r="K68" t="s">
        <v>3606</v>
      </c>
      <c r="L68" t="s">
        <v>3398</v>
      </c>
      <c r="M68" t="s">
        <v>3381</v>
      </c>
      <c r="N68" t="s">
        <v>3382</v>
      </c>
      <c r="O68" t="s">
        <v>3383</v>
      </c>
      <c r="P68" t="s">
        <v>3384</v>
      </c>
      <c r="Q68" t="s">
        <v>3399</v>
      </c>
      <c r="R68" t="s">
        <v>3386</v>
      </c>
      <c r="S68" t="s">
        <v>3387</v>
      </c>
      <c r="T68" t="s">
        <v>3388</v>
      </c>
      <c r="U68" t="s">
        <v>3658</v>
      </c>
      <c r="V68" t="s">
        <v>3401</v>
      </c>
      <c r="W68" t="s">
        <v>3658</v>
      </c>
      <c r="X68" t="s">
        <v>3391</v>
      </c>
      <c r="Y68" t="s">
        <v>3392</v>
      </c>
      <c r="Z68" t="s">
        <v>3402</v>
      </c>
      <c r="AA68" t="s">
        <v>3398</v>
      </c>
      <c r="AB68" t="s">
        <v>3398</v>
      </c>
      <c r="AC68" t="s">
        <v>3403</v>
      </c>
      <c r="AD68">
        <v>958933</v>
      </c>
    </row>
    <row r="69" spans="1:30" x14ac:dyDescent="0.25">
      <c r="A69" s="46" t="s">
        <v>2421</v>
      </c>
      <c r="B69" t="s">
        <v>3372</v>
      </c>
      <c r="C69" t="s">
        <v>3373</v>
      </c>
      <c r="D69" t="s">
        <v>3663</v>
      </c>
      <c r="E69" t="s">
        <v>3375</v>
      </c>
      <c r="F69">
        <v>0</v>
      </c>
      <c r="G69" t="s">
        <v>3664</v>
      </c>
      <c r="H69">
        <v>16</v>
      </c>
      <c r="I69" t="s">
        <v>3377</v>
      </c>
      <c r="J69" t="s">
        <v>3378</v>
      </c>
      <c r="K69" t="s">
        <v>3665</v>
      </c>
      <c r="L69" t="s">
        <v>3666</v>
      </c>
      <c r="M69" t="s">
        <v>3381</v>
      </c>
      <c r="N69" t="s">
        <v>3382</v>
      </c>
      <c r="O69" t="s">
        <v>3383</v>
      </c>
      <c r="P69" t="s">
        <v>3384</v>
      </c>
      <c r="Q69" t="s">
        <v>3667</v>
      </c>
      <c r="R69" t="s">
        <v>3386</v>
      </c>
      <c r="S69" t="s">
        <v>3387</v>
      </c>
      <c r="T69" t="s">
        <v>3388</v>
      </c>
      <c r="U69" t="s">
        <v>3668</v>
      </c>
      <c r="V69" t="s">
        <v>3401</v>
      </c>
      <c r="W69" t="s">
        <v>3668</v>
      </c>
      <c r="X69" t="s">
        <v>3391</v>
      </c>
      <c r="Y69" t="s">
        <v>3669</v>
      </c>
      <c r="Z69" t="s">
        <v>3670</v>
      </c>
      <c r="AA69" t="s">
        <v>3666</v>
      </c>
      <c r="AB69" t="s">
        <v>3666</v>
      </c>
      <c r="AC69" t="s">
        <v>3671</v>
      </c>
      <c r="AD69">
        <v>958824</v>
      </c>
    </row>
    <row r="70" spans="1:30" x14ac:dyDescent="0.25">
      <c r="A70" s="46" t="s">
        <v>2424</v>
      </c>
      <c r="B70" t="s">
        <v>3372</v>
      </c>
      <c r="C70" t="s">
        <v>3373</v>
      </c>
      <c r="D70" t="s">
        <v>3672</v>
      </c>
      <c r="E70" t="s">
        <v>3375</v>
      </c>
      <c r="F70">
        <v>0</v>
      </c>
      <c r="G70" t="s">
        <v>3673</v>
      </c>
      <c r="H70">
        <v>16</v>
      </c>
      <c r="I70" t="s">
        <v>3377</v>
      </c>
      <c r="J70" t="s">
        <v>3378</v>
      </c>
      <c r="K70" t="s">
        <v>3665</v>
      </c>
      <c r="L70" t="s">
        <v>3666</v>
      </c>
      <c r="M70" t="s">
        <v>3381</v>
      </c>
      <c r="N70" t="s">
        <v>3382</v>
      </c>
      <c r="O70" t="s">
        <v>3383</v>
      </c>
      <c r="P70" t="s">
        <v>3384</v>
      </c>
      <c r="Q70" t="s">
        <v>3667</v>
      </c>
      <c r="R70" t="s">
        <v>3386</v>
      </c>
      <c r="S70" t="s">
        <v>3387</v>
      </c>
      <c r="T70" t="s">
        <v>3388</v>
      </c>
      <c r="U70" t="s">
        <v>3668</v>
      </c>
      <c r="V70" t="s">
        <v>3401</v>
      </c>
      <c r="W70" t="s">
        <v>3668</v>
      </c>
      <c r="X70" t="s">
        <v>3391</v>
      </c>
      <c r="Y70" t="s">
        <v>3669</v>
      </c>
      <c r="Z70" t="s">
        <v>3670</v>
      </c>
      <c r="AA70" t="s">
        <v>3666</v>
      </c>
      <c r="AB70" t="s">
        <v>3666</v>
      </c>
      <c r="AC70" t="s">
        <v>3671</v>
      </c>
      <c r="AD70">
        <v>958824</v>
      </c>
    </row>
    <row r="71" spans="1:30" x14ac:dyDescent="0.25">
      <c r="A71" s="46" t="s">
        <v>2427</v>
      </c>
      <c r="B71" t="s">
        <v>3372</v>
      </c>
      <c r="C71" t="s">
        <v>3373</v>
      </c>
      <c r="D71" t="s">
        <v>3674</v>
      </c>
      <c r="E71" t="s">
        <v>3375</v>
      </c>
      <c r="F71">
        <v>0</v>
      </c>
      <c r="G71" t="s">
        <v>3675</v>
      </c>
      <c r="H71">
        <v>16</v>
      </c>
      <c r="I71" t="s">
        <v>3377</v>
      </c>
      <c r="J71" t="s">
        <v>3378</v>
      </c>
      <c r="K71" t="s">
        <v>3665</v>
      </c>
      <c r="L71" t="s">
        <v>3666</v>
      </c>
      <c r="M71" t="s">
        <v>3381</v>
      </c>
      <c r="N71" t="s">
        <v>3382</v>
      </c>
      <c r="O71" t="s">
        <v>3383</v>
      </c>
      <c r="P71" t="s">
        <v>3384</v>
      </c>
      <c r="Q71" t="s">
        <v>3667</v>
      </c>
      <c r="R71" t="s">
        <v>3386</v>
      </c>
      <c r="S71" t="s">
        <v>3387</v>
      </c>
      <c r="T71" t="s">
        <v>3388</v>
      </c>
      <c r="U71" t="s">
        <v>3668</v>
      </c>
      <c r="V71" t="s">
        <v>3401</v>
      </c>
      <c r="W71" t="s">
        <v>3668</v>
      </c>
      <c r="X71" t="s">
        <v>3391</v>
      </c>
      <c r="Y71" t="s">
        <v>3669</v>
      </c>
      <c r="Z71" t="s">
        <v>3670</v>
      </c>
      <c r="AA71" t="s">
        <v>3666</v>
      </c>
      <c r="AB71" t="s">
        <v>3666</v>
      </c>
      <c r="AC71" t="s">
        <v>3671</v>
      </c>
      <c r="AD71">
        <v>958824</v>
      </c>
    </row>
    <row r="72" spans="1:30" x14ac:dyDescent="0.25">
      <c r="A72" s="46" t="s">
        <v>2430</v>
      </c>
      <c r="B72" t="s">
        <v>3372</v>
      </c>
      <c r="C72" t="s">
        <v>3373</v>
      </c>
      <c r="D72" t="s">
        <v>3676</v>
      </c>
      <c r="E72" t="s">
        <v>3375</v>
      </c>
      <c r="F72">
        <v>0</v>
      </c>
      <c r="G72" t="s">
        <v>3677</v>
      </c>
      <c r="H72">
        <v>16</v>
      </c>
      <c r="I72" t="s">
        <v>3377</v>
      </c>
      <c r="J72" t="s">
        <v>3378</v>
      </c>
      <c r="K72" t="s">
        <v>3665</v>
      </c>
      <c r="L72" t="s">
        <v>3666</v>
      </c>
      <c r="M72" t="s">
        <v>3381</v>
      </c>
      <c r="N72" t="s">
        <v>3382</v>
      </c>
      <c r="O72" t="s">
        <v>3383</v>
      </c>
      <c r="P72" t="s">
        <v>3384</v>
      </c>
      <c r="Q72" t="s">
        <v>3667</v>
      </c>
      <c r="R72" t="s">
        <v>3386</v>
      </c>
      <c r="S72" t="s">
        <v>3387</v>
      </c>
      <c r="T72" t="s">
        <v>3388</v>
      </c>
      <c r="U72" t="s">
        <v>3668</v>
      </c>
      <c r="V72" t="s">
        <v>3401</v>
      </c>
      <c r="W72" t="s">
        <v>3668</v>
      </c>
      <c r="X72" t="s">
        <v>3391</v>
      </c>
      <c r="Y72" t="s">
        <v>3669</v>
      </c>
      <c r="Z72" t="s">
        <v>3670</v>
      </c>
      <c r="AA72" t="s">
        <v>3666</v>
      </c>
      <c r="AB72" t="s">
        <v>3666</v>
      </c>
      <c r="AC72" t="s">
        <v>3671</v>
      </c>
      <c r="AD72">
        <v>958824</v>
      </c>
    </row>
    <row r="73" spans="1:30" x14ac:dyDescent="0.25">
      <c r="A73" s="46" t="s">
        <v>2433</v>
      </c>
      <c r="B73" t="s">
        <v>3372</v>
      </c>
      <c r="C73" t="s">
        <v>3373</v>
      </c>
      <c r="D73" t="s">
        <v>3678</v>
      </c>
      <c r="E73" t="s">
        <v>3375</v>
      </c>
      <c r="F73">
        <v>0</v>
      </c>
      <c r="G73" t="s">
        <v>3679</v>
      </c>
      <c r="H73">
        <v>16</v>
      </c>
      <c r="I73" t="s">
        <v>3377</v>
      </c>
      <c r="J73" t="s">
        <v>3378</v>
      </c>
      <c r="K73" t="s">
        <v>3665</v>
      </c>
      <c r="L73" t="s">
        <v>3666</v>
      </c>
      <c r="M73" t="s">
        <v>3381</v>
      </c>
      <c r="N73" t="s">
        <v>3382</v>
      </c>
      <c r="O73" t="s">
        <v>3383</v>
      </c>
      <c r="P73" t="s">
        <v>3384</v>
      </c>
      <c r="Q73" t="s">
        <v>3667</v>
      </c>
      <c r="R73" t="s">
        <v>3386</v>
      </c>
      <c r="S73" t="s">
        <v>3387</v>
      </c>
      <c r="T73" t="s">
        <v>3388</v>
      </c>
      <c r="U73" t="s">
        <v>3668</v>
      </c>
      <c r="V73" t="s">
        <v>3401</v>
      </c>
      <c r="W73" t="s">
        <v>3668</v>
      </c>
      <c r="X73" t="s">
        <v>3391</v>
      </c>
      <c r="Y73" t="s">
        <v>3669</v>
      </c>
      <c r="Z73" t="s">
        <v>3670</v>
      </c>
      <c r="AA73" t="s">
        <v>3666</v>
      </c>
      <c r="AB73" t="s">
        <v>3666</v>
      </c>
      <c r="AC73" t="s">
        <v>3671</v>
      </c>
      <c r="AD73">
        <v>958824</v>
      </c>
    </row>
    <row r="74" spans="1:30" x14ac:dyDescent="0.25">
      <c r="A74" s="46" t="s">
        <v>2436</v>
      </c>
      <c r="B74" t="s">
        <v>3372</v>
      </c>
      <c r="C74" t="s">
        <v>3373</v>
      </c>
      <c r="D74" t="s">
        <v>3680</v>
      </c>
      <c r="E74" t="s">
        <v>3375</v>
      </c>
      <c r="F74">
        <v>0</v>
      </c>
      <c r="G74" t="s">
        <v>3681</v>
      </c>
      <c r="H74">
        <v>16</v>
      </c>
      <c r="I74" t="s">
        <v>3377</v>
      </c>
      <c r="J74" t="s">
        <v>3378</v>
      </c>
      <c r="K74" t="s">
        <v>3665</v>
      </c>
      <c r="L74" t="s">
        <v>3666</v>
      </c>
      <c r="M74" t="s">
        <v>3381</v>
      </c>
      <c r="N74" t="s">
        <v>3382</v>
      </c>
      <c r="O74" t="s">
        <v>3383</v>
      </c>
      <c r="P74" t="s">
        <v>3384</v>
      </c>
      <c r="Q74" t="s">
        <v>3667</v>
      </c>
      <c r="R74" t="s">
        <v>3386</v>
      </c>
      <c r="S74" t="s">
        <v>3387</v>
      </c>
      <c r="T74" t="s">
        <v>3388</v>
      </c>
      <c r="U74" t="s">
        <v>3668</v>
      </c>
      <c r="V74" t="s">
        <v>3401</v>
      </c>
      <c r="W74" t="s">
        <v>3668</v>
      </c>
      <c r="X74" t="s">
        <v>3391</v>
      </c>
      <c r="Y74" t="s">
        <v>3669</v>
      </c>
      <c r="Z74" t="s">
        <v>3670</v>
      </c>
      <c r="AA74" t="s">
        <v>3666</v>
      </c>
      <c r="AB74" t="s">
        <v>3666</v>
      </c>
      <c r="AC74" t="s">
        <v>3671</v>
      </c>
      <c r="AD74">
        <v>958824</v>
      </c>
    </row>
    <row r="75" spans="1:30" x14ac:dyDescent="0.25">
      <c r="A75" s="46" t="s">
        <v>2439</v>
      </c>
      <c r="B75" t="s">
        <v>3372</v>
      </c>
      <c r="C75" t="s">
        <v>3373</v>
      </c>
      <c r="D75" t="s">
        <v>3682</v>
      </c>
      <c r="E75" t="s">
        <v>3375</v>
      </c>
      <c r="F75">
        <v>0</v>
      </c>
      <c r="G75" t="s">
        <v>3683</v>
      </c>
      <c r="H75">
        <v>16</v>
      </c>
      <c r="I75" t="s">
        <v>3377</v>
      </c>
      <c r="J75" t="s">
        <v>3378</v>
      </c>
      <c r="K75" t="s">
        <v>3665</v>
      </c>
      <c r="L75" t="s">
        <v>3666</v>
      </c>
      <c r="M75" t="s">
        <v>3381</v>
      </c>
      <c r="N75" t="s">
        <v>3382</v>
      </c>
      <c r="O75" t="s">
        <v>3383</v>
      </c>
      <c r="P75" t="s">
        <v>3384</v>
      </c>
      <c r="Q75" t="s">
        <v>3667</v>
      </c>
      <c r="R75" t="s">
        <v>3386</v>
      </c>
      <c r="S75" t="s">
        <v>3387</v>
      </c>
      <c r="T75" t="s">
        <v>3388</v>
      </c>
      <c r="U75" t="s">
        <v>3668</v>
      </c>
      <c r="V75" t="s">
        <v>3401</v>
      </c>
      <c r="W75" t="s">
        <v>3668</v>
      </c>
      <c r="X75" t="s">
        <v>3391</v>
      </c>
      <c r="Y75" t="s">
        <v>3669</v>
      </c>
      <c r="Z75" t="s">
        <v>3670</v>
      </c>
      <c r="AA75" t="s">
        <v>3666</v>
      </c>
      <c r="AB75" t="s">
        <v>3666</v>
      </c>
      <c r="AC75" t="s">
        <v>3671</v>
      </c>
      <c r="AD75">
        <v>958824</v>
      </c>
    </row>
    <row r="76" spans="1:30" x14ac:dyDescent="0.25">
      <c r="A76" s="46" t="s">
        <v>2442</v>
      </c>
      <c r="B76" t="s">
        <v>3372</v>
      </c>
      <c r="C76" t="s">
        <v>3373</v>
      </c>
      <c r="D76" t="s">
        <v>3684</v>
      </c>
      <c r="E76" t="s">
        <v>3375</v>
      </c>
      <c r="F76">
        <v>0</v>
      </c>
      <c r="G76" t="s">
        <v>3685</v>
      </c>
      <c r="H76">
        <v>16</v>
      </c>
      <c r="I76" t="s">
        <v>3377</v>
      </c>
      <c r="J76" t="s">
        <v>3378</v>
      </c>
      <c r="K76" t="s">
        <v>3665</v>
      </c>
      <c r="L76" t="s">
        <v>3666</v>
      </c>
      <c r="M76" t="s">
        <v>3381</v>
      </c>
      <c r="N76" t="s">
        <v>3382</v>
      </c>
      <c r="O76" t="s">
        <v>3383</v>
      </c>
      <c r="P76" t="s">
        <v>3384</v>
      </c>
      <c r="Q76" t="s">
        <v>3667</v>
      </c>
      <c r="R76" t="s">
        <v>3386</v>
      </c>
      <c r="S76" t="s">
        <v>3387</v>
      </c>
      <c r="T76" t="s">
        <v>3388</v>
      </c>
      <c r="U76" t="s">
        <v>3668</v>
      </c>
      <c r="V76" t="s">
        <v>3401</v>
      </c>
      <c r="W76" t="s">
        <v>3668</v>
      </c>
      <c r="X76" t="s">
        <v>3391</v>
      </c>
      <c r="Y76" t="s">
        <v>3669</v>
      </c>
      <c r="Z76" t="s">
        <v>3670</v>
      </c>
      <c r="AA76" t="s">
        <v>3666</v>
      </c>
      <c r="AB76" t="s">
        <v>3666</v>
      </c>
      <c r="AC76" t="s">
        <v>3671</v>
      </c>
      <c r="AD76">
        <v>958824</v>
      </c>
    </row>
    <row r="77" spans="1:30" x14ac:dyDescent="0.25">
      <c r="A77" s="46" t="s">
        <v>2445</v>
      </c>
      <c r="B77" t="s">
        <v>3372</v>
      </c>
      <c r="C77" t="s">
        <v>3373</v>
      </c>
      <c r="D77" t="s">
        <v>3686</v>
      </c>
      <c r="E77" t="s">
        <v>3375</v>
      </c>
      <c r="F77">
        <v>0</v>
      </c>
      <c r="G77" t="s">
        <v>3687</v>
      </c>
      <c r="H77">
        <v>16</v>
      </c>
      <c r="I77" t="s">
        <v>3377</v>
      </c>
      <c r="J77" t="s">
        <v>3378</v>
      </c>
      <c r="K77" t="s">
        <v>3665</v>
      </c>
      <c r="L77" t="s">
        <v>3666</v>
      </c>
      <c r="M77" t="s">
        <v>3381</v>
      </c>
      <c r="N77" t="s">
        <v>3382</v>
      </c>
      <c r="O77" t="s">
        <v>3383</v>
      </c>
      <c r="P77" t="s">
        <v>3384</v>
      </c>
      <c r="Q77" t="s">
        <v>3667</v>
      </c>
      <c r="R77" t="s">
        <v>3386</v>
      </c>
      <c r="S77" t="s">
        <v>3387</v>
      </c>
      <c r="T77" t="s">
        <v>3388</v>
      </c>
      <c r="U77" t="s">
        <v>3668</v>
      </c>
      <c r="V77" t="s">
        <v>3401</v>
      </c>
      <c r="W77" t="s">
        <v>3668</v>
      </c>
      <c r="X77" t="s">
        <v>3391</v>
      </c>
      <c r="Y77" t="s">
        <v>3669</v>
      </c>
      <c r="Z77" t="s">
        <v>3670</v>
      </c>
      <c r="AA77" t="s">
        <v>3666</v>
      </c>
      <c r="AB77" t="s">
        <v>3666</v>
      </c>
      <c r="AC77" t="s">
        <v>3671</v>
      </c>
      <c r="AD77">
        <v>958824</v>
      </c>
    </row>
    <row r="78" spans="1:30" x14ac:dyDescent="0.25">
      <c r="A78" s="46" t="s">
        <v>2448</v>
      </c>
      <c r="B78" t="s">
        <v>3372</v>
      </c>
      <c r="C78" t="s">
        <v>3373</v>
      </c>
      <c r="D78" t="s">
        <v>3688</v>
      </c>
      <c r="E78" t="s">
        <v>3375</v>
      </c>
      <c r="F78">
        <v>0</v>
      </c>
      <c r="G78" t="s">
        <v>3689</v>
      </c>
      <c r="H78">
        <v>16</v>
      </c>
      <c r="I78" t="s">
        <v>3377</v>
      </c>
      <c r="J78" t="s">
        <v>3378</v>
      </c>
      <c r="K78" t="s">
        <v>3665</v>
      </c>
      <c r="L78" t="s">
        <v>3666</v>
      </c>
      <c r="M78" t="s">
        <v>3381</v>
      </c>
      <c r="N78" t="s">
        <v>3382</v>
      </c>
      <c r="O78" t="s">
        <v>3383</v>
      </c>
      <c r="P78" t="s">
        <v>3384</v>
      </c>
      <c r="Q78" t="s">
        <v>3667</v>
      </c>
      <c r="R78" t="s">
        <v>3386</v>
      </c>
      <c r="S78" t="s">
        <v>3387</v>
      </c>
      <c r="T78" t="s">
        <v>3388</v>
      </c>
      <c r="U78" t="s">
        <v>3668</v>
      </c>
      <c r="V78" t="s">
        <v>3401</v>
      </c>
      <c r="W78" t="s">
        <v>3668</v>
      </c>
      <c r="X78" t="s">
        <v>3391</v>
      </c>
      <c r="Y78" t="s">
        <v>3669</v>
      </c>
      <c r="Z78" t="s">
        <v>3670</v>
      </c>
      <c r="AA78" t="s">
        <v>3666</v>
      </c>
      <c r="AB78" t="s">
        <v>3666</v>
      </c>
      <c r="AC78" t="s">
        <v>3671</v>
      </c>
      <c r="AD78">
        <v>958824</v>
      </c>
    </row>
    <row r="79" spans="1:30" x14ac:dyDescent="0.25">
      <c r="A79" s="46" t="s">
        <v>2451</v>
      </c>
      <c r="B79" t="s">
        <v>3372</v>
      </c>
      <c r="C79" t="s">
        <v>3373</v>
      </c>
      <c r="D79" t="s">
        <v>3690</v>
      </c>
      <c r="E79" t="s">
        <v>3375</v>
      </c>
      <c r="F79">
        <v>0</v>
      </c>
      <c r="G79" t="s">
        <v>3691</v>
      </c>
      <c r="H79">
        <v>16</v>
      </c>
      <c r="I79" t="s">
        <v>3377</v>
      </c>
      <c r="J79" t="s">
        <v>3378</v>
      </c>
      <c r="K79" t="s">
        <v>3665</v>
      </c>
      <c r="L79" t="s">
        <v>3666</v>
      </c>
      <c r="M79" t="s">
        <v>3381</v>
      </c>
      <c r="N79" t="s">
        <v>3382</v>
      </c>
      <c r="O79" t="s">
        <v>3383</v>
      </c>
      <c r="P79" t="s">
        <v>3384</v>
      </c>
      <c r="Q79" t="s">
        <v>3667</v>
      </c>
      <c r="R79" t="s">
        <v>3386</v>
      </c>
      <c r="S79" t="s">
        <v>3387</v>
      </c>
      <c r="T79" t="s">
        <v>3388</v>
      </c>
      <c r="U79" t="s">
        <v>3668</v>
      </c>
      <c r="V79" t="s">
        <v>3401</v>
      </c>
      <c r="W79" t="s">
        <v>3668</v>
      </c>
      <c r="X79" t="s">
        <v>3391</v>
      </c>
      <c r="Y79" t="s">
        <v>3669</v>
      </c>
      <c r="Z79" t="s">
        <v>3670</v>
      </c>
      <c r="AA79" t="s">
        <v>3666</v>
      </c>
      <c r="AB79" t="s">
        <v>3666</v>
      </c>
      <c r="AC79" t="s">
        <v>3671</v>
      </c>
      <c r="AD79">
        <v>958824</v>
      </c>
    </row>
    <row r="80" spans="1:30" x14ac:dyDescent="0.25">
      <c r="A80" s="46" t="s">
        <v>2454</v>
      </c>
      <c r="B80" t="s">
        <v>3372</v>
      </c>
      <c r="C80" t="s">
        <v>3373</v>
      </c>
      <c r="D80" t="s">
        <v>3692</v>
      </c>
      <c r="E80" t="s">
        <v>3375</v>
      </c>
      <c r="F80">
        <v>0</v>
      </c>
      <c r="G80" t="s">
        <v>3693</v>
      </c>
      <c r="H80">
        <v>16</v>
      </c>
      <c r="I80" t="s">
        <v>3377</v>
      </c>
      <c r="J80" t="s">
        <v>3378</v>
      </c>
      <c r="K80" t="s">
        <v>3665</v>
      </c>
      <c r="L80" t="s">
        <v>3666</v>
      </c>
      <c r="M80" t="s">
        <v>3381</v>
      </c>
      <c r="N80" t="s">
        <v>3382</v>
      </c>
      <c r="O80" t="s">
        <v>3383</v>
      </c>
      <c r="P80" t="s">
        <v>3384</v>
      </c>
      <c r="Q80" t="s">
        <v>3667</v>
      </c>
      <c r="R80" t="s">
        <v>3386</v>
      </c>
      <c r="S80" t="s">
        <v>3387</v>
      </c>
      <c r="T80" t="s">
        <v>3388</v>
      </c>
      <c r="U80" t="s">
        <v>3668</v>
      </c>
      <c r="V80" t="s">
        <v>3401</v>
      </c>
      <c r="W80" t="s">
        <v>3668</v>
      </c>
      <c r="X80" t="s">
        <v>3391</v>
      </c>
      <c r="Y80" t="s">
        <v>3669</v>
      </c>
      <c r="Z80" t="s">
        <v>3670</v>
      </c>
      <c r="AA80" t="s">
        <v>3666</v>
      </c>
      <c r="AB80" t="s">
        <v>3666</v>
      </c>
      <c r="AC80" t="s">
        <v>3671</v>
      </c>
      <c r="AD80">
        <v>958824</v>
      </c>
    </row>
    <row r="81" spans="1:30" x14ac:dyDescent="0.25">
      <c r="A81" s="46" t="s">
        <v>2456</v>
      </c>
      <c r="B81" t="s">
        <v>3372</v>
      </c>
      <c r="C81" t="s">
        <v>3373</v>
      </c>
      <c r="D81" t="s">
        <v>3694</v>
      </c>
      <c r="E81" t="s">
        <v>3375</v>
      </c>
      <c r="F81">
        <v>0</v>
      </c>
      <c r="G81" t="s">
        <v>3695</v>
      </c>
      <c r="H81">
        <v>16</v>
      </c>
      <c r="I81" t="s">
        <v>3377</v>
      </c>
      <c r="J81" t="s">
        <v>3378</v>
      </c>
      <c r="K81" t="s">
        <v>3665</v>
      </c>
      <c r="L81" t="s">
        <v>3666</v>
      </c>
      <c r="M81" t="s">
        <v>3381</v>
      </c>
      <c r="N81" t="s">
        <v>3382</v>
      </c>
      <c r="O81" t="s">
        <v>3383</v>
      </c>
      <c r="P81" t="s">
        <v>3384</v>
      </c>
      <c r="Q81" t="s">
        <v>3667</v>
      </c>
      <c r="R81" t="s">
        <v>3386</v>
      </c>
      <c r="S81" t="s">
        <v>3387</v>
      </c>
      <c r="T81" t="s">
        <v>3388</v>
      </c>
      <c r="U81" t="s">
        <v>3668</v>
      </c>
      <c r="V81" t="s">
        <v>3401</v>
      </c>
      <c r="W81" t="s">
        <v>3668</v>
      </c>
      <c r="X81" t="s">
        <v>3391</v>
      </c>
      <c r="Y81" t="s">
        <v>3669</v>
      </c>
      <c r="Z81" t="s">
        <v>3670</v>
      </c>
      <c r="AA81" t="s">
        <v>3666</v>
      </c>
      <c r="AB81" t="s">
        <v>3666</v>
      </c>
      <c r="AC81" t="s">
        <v>3671</v>
      </c>
      <c r="AD81">
        <v>958824</v>
      </c>
    </row>
    <row r="82" spans="1:30" x14ac:dyDescent="0.25">
      <c r="A82" s="46" t="s">
        <v>2458</v>
      </c>
      <c r="B82" t="s">
        <v>3372</v>
      </c>
      <c r="C82" t="s">
        <v>3373</v>
      </c>
      <c r="D82" t="s">
        <v>3696</v>
      </c>
      <c r="E82" t="s">
        <v>3375</v>
      </c>
      <c r="F82">
        <v>0</v>
      </c>
      <c r="G82" t="s">
        <v>3697</v>
      </c>
      <c r="H82">
        <v>16</v>
      </c>
      <c r="I82" t="s">
        <v>3377</v>
      </c>
      <c r="J82" t="s">
        <v>3378</v>
      </c>
      <c r="K82" t="s">
        <v>3665</v>
      </c>
      <c r="L82" t="s">
        <v>3666</v>
      </c>
      <c r="M82" t="s">
        <v>3381</v>
      </c>
      <c r="N82" t="s">
        <v>3382</v>
      </c>
      <c r="O82" t="s">
        <v>3383</v>
      </c>
      <c r="P82" t="s">
        <v>3384</v>
      </c>
      <c r="Q82" t="s">
        <v>3667</v>
      </c>
      <c r="R82" t="s">
        <v>3386</v>
      </c>
      <c r="S82" t="s">
        <v>3387</v>
      </c>
      <c r="T82" t="s">
        <v>3388</v>
      </c>
      <c r="U82" t="s">
        <v>3668</v>
      </c>
      <c r="V82" t="s">
        <v>3401</v>
      </c>
      <c r="W82" t="s">
        <v>3668</v>
      </c>
      <c r="X82" t="s">
        <v>3391</v>
      </c>
      <c r="Y82" t="s">
        <v>3669</v>
      </c>
      <c r="Z82" t="s">
        <v>3670</v>
      </c>
      <c r="AA82" t="s">
        <v>3666</v>
      </c>
      <c r="AB82" t="s">
        <v>3666</v>
      </c>
      <c r="AC82" t="s">
        <v>3671</v>
      </c>
      <c r="AD82">
        <v>958824</v>
      </c>
    </row>
    <row r="83" spans="1:30" x14ac:dyDescent="0.25">
      <c r="A83" s="46" t="s">
        <v>2460</v>
      </c>
      <c r="B83" t="s">
        <v>3372</v>
      </c>
      <c r="C83" t="s">
        <v>3373</v>
      </c>
      <c r="D83" t="s">
        <v>3698</v>
      </c>
      <c r="E83" t="s">
        <v>3375</v>
      </c>
      <c r="F83">
        <v>0</v>
      </c>
      <c r="G83" t="s">
        <v>3699</v>
      </c>
      <c r="H83">
        <v>16</v>
      </c>
      <c r="I83" t="s">
        <v>3377</v>
      </c>
      <c r="J83" t="s">
        <v>3378</v>
      </c>
      <c r="K83" t="s">
        <v>3665</v>
      </c>
      <c r="L83" t="s">
        <v>3666</v>
      </c>
      <c r="M83" t="s">
        <v>3381</v>
      </c>
      <c r="N83" t="s">
        <v>3382</v>
      </c>
      <c r="O83" t="s">
        <v>3383</v>
      </c>
      <c r="P83" t="s">
        <v>3384</v>
      </c>
      <c r="Q83" t="s">
        <v>3667</v>
      </c>
      <c r="R83" t="s">
        <v>3386</v>
      </c>
      <c r="S83" t="s">
        <v>3387</v>
      </c>
      <c r="T83" t="s">
        <v>3388</v>
      </c>
      <c r="U83" t="s">
        <v>3668</v>
      </c>
      <c r="V83" t="s">
        <v>3401</v>
      </c>
      <c r="W83" t="s">
        <v>3668</v>
      </c>
      <c r="X83" t="s">
        <v>3391</v>
      </c>
      <c r="Y83" t="s">
        <v>3669</v>
      </c>
      <c r="Z83" t="s">
        <v>3670</v>
      </c>
      <c r="AA83" t="s">
        <v>3666</v>
      </c>
      <c r="AB83" t="s">
        <v>3666</v>
      </c>
      <c r="AC83" t="s">
        <v>3671</v>
      </c>
      <c r="AD83">
        <v>958824</v>
      </c>
    </row>
    <row r="84" spans="1:30" x14ac:dyDescent="0.25">
      <c r="A84" s="46" t="s">
        <v>1081</v>
      </c>
      <c r="B84" t="s">
        <v>3372</v>
      </c>
      <c r="C84" t="s">
        <v>3373</v>
      </c>
      <c r="D84" t="s">
        <v>3700</v>
      </c>
      <c r="E84" t="s">
        <v>3375</v>
      </c>
      <c r="F84">
        <v>0</v>
      </c>
      <c r="G84" t="s">
        <v>3701</v>
      </c>
      <c r="H84">
        <v>16</v>
      </c>
      <c r="I84" t="s">
        <v>3377</v>
      </c>
      <c r="J84" t="s">
        <v>3378</v>
      </c>
      <c r="K84" t="s">
        <v>3606</v>
      </c>
      <c r="L84" t="s">
        <v>3614</v>
      </c>
      <c r="M84" t="s">
        <v>3381</v>
      </c>
      <c r="N84" t="s">
        <v>3382</v>
      </c>
      <c r="O84" t="s">
        <v>3383</v>
      </c>
      <c r="P84" t="s">
        <v>3384</v>
      </c>
      <c r="Q84" t="s">
        <v>3615</v>
      </c>
      <c r="R84" t="s">
        <v>3386</v>
      </c>
      <c r="S84" t="s">
        <v>3387</v>
      </c>
      <c r="T84" t="s">
        <v>3388</v>
      </c>
      <c r="U84" t="s">
        <v>3410</v>
      </c>
      <c r="V84" t="s">
        <v>3411</v>
      </c>
      <c r="W84" t="s">
        <v>3456</v>
      </c>
      <c r="X84" t="s">
        <v>3391</v>
      </c>
      <c r="Y84" t="s">
        <v>3392</v>
      </c>
      <c r="Z84" t="s">
        <v>3616</v>
      </c>
      <c r="AA84" t="s">
        <v>3614</v>
      </c>
      <c r="AB84" t="s">
        <v>3614</v>
      </c>
      <c r="AC84" t="s">
        <v>3617</v>
      </c>
      <c r="AD84">
        <v>959261</v>
      </c>
    </row>
    <row r="85" spans="1:30" x14ac:dyDescent="0.25">
      <c r="A85" s="46" t="s">
        <v>1083</v>
      </c>
      <c r="B85" t="s">
        <v>3372</v>
      </c>
      <c r="C85" t="s">
        <v>3373</v>
      </c>
      <c r="D85" t="s">
        <v>3702</v>
      </c>
      <c r="E85" t="s">
        <v>3375</v>
      </c>
      <c r="F85">
        <v>0</v>
      </c>
      <c r="G85" t="s">
        <v>3703</v>
      </c>
      <c r="H85">
        <v>16</v>
      </c>
      <c r="I85" t="s">
        <v>3377</v>
      </c>
      <c r="J85" t="s">
        <v>3378</v>
      </c>
      <c r="K85" t="s">
        <v>3606</v>
      </c>
      <c r="L85" t="s">
        <v>3614</v>
      </c>
      <c r="M85" t="s">
        <v>3381</v>
      </c>
      <c r="N85" t="s">
        <v>3382</v>
      </c>
      <c r="O85" t="s">
        <v>3383</v>
      </c>
      <c r="P85" t="s">
        <v>3384</v>
      </c>
      <c r="Q85" t="s">
        <v>3615</v>
      </c>
      <c r="R85" t="s">
        <v>3386</v>
      </c>
      <c r="S85" t="s">
        <v>3387</v>
      </c>
      <c r="T85" t="s">
        <v>3388</v>
      </c>
      <c r="U85" t="s">
        <v>3410</v>
      </c>
      <c r="V85" t="s">
        <v>3411</v>
      </c>
      <c r="W85" t="s">
        <v>3456</v>
      </c>
      <c r="X85" t="s">
        <v>3391</v>
      </c>
      <c r="Y85" t="s">
        <v>3392</v>
      </c>
      <c r="Z85" t="s">
        <v>3616</v>
      </c>
      <c r="AA85" t="s">
        <v>3614</v>
      </c>
      <c r="AB85" t="s">
        <v>3614</v>
      </c>
      <c r="AC85" t="s">
        <v>3617</v>
      </c>
      <c r="AD85">
        <v>959261</v>
      </c>
    </row>
    <row r="86" spans="1:30" x14ac:dyDescent="0.25">
      <c r="A86" s="46" t="s">
        <v>1143</v>
      </c>
      <c r="B86" t="s">
        <v>3372</v>
      </c>
      <c r="C86" t="s">
        <v>3373</v>
      </c>
      <c r="D86" t="s">
        <v>3704</v>
      </c>
      <c r="E86" t="s">
        <v>3375</v>
      </c>
      <c r="F86">
        <v>1</v>
      </c>
      <c r="G86" t="s">
        <v>3705</v>
      </c>
      <c r="H86">
        <v>16</v>
      </c>
      <c r="I86" t="s">
        <v>3377</v>
      </c>
      <c r="J86" t="s">
        <v>3378</v>
      </c>
      <c r="K86" t="s">
        <v>3706</v>
      </c>
      <c r="L86" t="s">
        <v>3546</v>
      </c>
      <c r="M86" t="s">
        <v>3381</v>
      </c>
      <c r="N86" t="s">
        <v>3382</v>
      </c>
      <c r="O86" t="s">
        <v>3383</v>
      </c>
      <c r="P86" t="s">
        <v>3384</v>
      </c>
      <c r="Q86" t="s">
        <v>3547</v>
      </c>
      <c r="R86" t="s">
        <v>3386</v>
      </c>
      <c r="S86" t="s">
        <v>3387</v>
      </c>
      <c r="T86" t="s">
        <v>3388</v>
      </c>
      <c r="U86" t="s">
        <v>3707</v>
      </c>
      <c r="V86" t="s">
        <v>3708</v>
      </c>
      <c r="W86" t="s">
        <v>3456</v>
      </c>
      <c r="X86" t="s">
        <v>3391</v>
      </c>
      <c r="Y86" t="s">
        <v>3392</v>
      </c>
      <c r="Z86" t="s">
        <v>3551</v>
      </c>
      <c r="AA86" t="s">
        <v>3546</v>
      </c>
      <c r="AB86" t="s">
        <v>3546</v>
      </c>
      <c r="AC86" t="s">
        <v>3552</v>
      </c>
      <c r="AD86">
        <v>404436</v>
      </c>
    </row>
    <row r="87" spans="1:30" x14ac:dyDescent="0.25">
      <c r="A87" s="46" t="s">
        <v>1137</v>
      </c>
      <c r="B87" t="s">
        <v>3372</v>
      </c>
      <c r="C87" t="s">
        <v>3373</v>
      </c>
      <c r="D87" t="s">
        <v>3709</v>
      </c>
      <c r="E87" t="s">
        <v>3375</v>
      </c>
      <c r="F87">
        <v>2</v>
      </c>
      <c r="G87" t="s">
        <v>3710</v>
      </c>
      <c r="H87">
        <v>16</v>
      </c>
      <c r="I87" t="s">
        <v>3377</v>
      </c>
      <c r="J87" t="s">
        <v>3378</v>
      </c>
      <c r="K87" t="s">
        <v>3706</v>
      </c>
      <c r="L87" t="s">
        <v>3546</v>
      </c>
      <c r="M87" t="s">
        <v>3381</v>
      </c>
      <c r="N87" t="s">
        <v>3382</v>
      </c>
      <c r="O87" t="s">
        <v>3383</v>
      </c>
      <c r="P87" t="s">
        <v>3384</v>
      </c>
      <c r="Q87" t="s">
        <v>3547</v>
      </c>
      <c r="R87" t="s">
        <v>3386</v>
      </c>
      <c r="S87" t="s">
        <v>3387</v>
      </c>
      <c r="T87" t="s">
        <v>3388</v>
      </c>
      <c r="U87" t="s">
        <v>3454</v>
      </c>
      <c r="V87" t="s">
        <v>3455</v>
      </c>
      <c r="W87" t="s">
        <v>3456</v>
      </c>
      <c r="X87" t="s">
        <v>3391</v>
      </c>
      <c r="Y87" t="s">
        <v>3392</v>
      </c>
      <c r="Z87" t="s">
        <v>3551</v>
      </c>
      <c r="AA87" t="s">
        <v>3546</v>
      </c>
      <c r="AB87" t="s">
        <v>3546</v>
      </c>
      <c r="AC87" t="s">
        <v>3552</v>
      </c>
      <c r="AD87">
        <v>720467</v>
      </c>
    </row>
    <row r="88" spans="1:30" x14ac:dyDescent="0.25">
      <c r="A88" s="46" t="s">
        <v>1140</v>
      </c>
      <c r="B88" t="s">
        <v>3372</v>
      </c>
      <c r="C88" t="s">
        <v>3373</v>
      </c>
      <c r="D88" t="s">
        <v>3711</v>
      </c>
      <c r="E88" t="s">
        <v>3375</v>
      </c>
      <c r="F88">
        <v>2</v>
      </c>
      <c r="G88" t="s">
        <v>3712</v>
      </c>
      <c r="H88">
        <v>16</v>
      </c>
      <c r="I88" t="s">
        <v>3377</v>
      </c>
      <c r="J88" t="s">
        <v>3378</v>
      </c>
      <c r="K88" t="s">
        <v>3706</v>
      </c>
      <c r="L88" t="s">
        <v>3546</v>
      </c>
      <c r="M88" t="s">
        <v>3381</v>
      </c>
      <c r="N88" t="s">
        <v>3382</v>
      </c>
      <c r="O88" t="s">
        <v>3383</v>
      </c>
      <c r="P88" t="s">
        <v>3384</v>
      </c>
      <c r="Q88" t="s">
        <v>3547</v>
      </c>
      <c r="R88" t="s">
        <v>3386</v>
      </c>
      <c r="S88" t="s">
        <v>3387</v>
      </c>
      <c r="T88" t="s">
        <v>3388</v>
      </c>
      <c r="U88" t="s">
        <v>3454</v>
      </c>
      <c r="V88" t="s">
        <v>3455</v>
      </c>
      <c r="W88" t="s">
        <v>3456</v>
      </c>
      <c r="X88" t="s">
        <v>3391</v>
      </c>
      <c r="Y88" t="s">
        <v>3392</v>
      </c>
      <c r="Z88" t="s">
        <v>3551</v>
      </c>
      <c r="AA88" t="s">
        <v>3546</v>
      </c>
      <c r="AB88" t="s">
        <v>3546</v>
      </c>
      <c r="AC88" t="s">
        <v>3552</v>
      </c>
      <c r="AD88">
        <v>720467</v>
      </c>
    </row>
    <row r="89" spans="1:30" x14ac:dyDescent="0.25">
      <c r="A89" s="46" t="s">
        <v>1165</v>
      </c>
      <c r="B89" t="s">
        <v>3372</v>
      </c>
      <c r="C89" t="s">
        <v>3373</v>
      </c>
      <c r="D89" t="s">
        <v>3713</v>
      </c>
      <c r="E89" t="s">
        <v>3375</v>
      </c>
      <c r="F89">
        <v>1</v>
      </c>
      <c r="G89" t="s">
        <v>3714</v>
      </c>
      <c r="H89">
        <v>16</v>
      </c>
      <c r="I89" t="s">
        <v>3377</v>
      </c>
      <c r="J89" t="s">
        <v>3378</v>
      </c>
      <c r="K89" t="s">
        <v>3438</v>
      </c>
      <c r="L89" t="s">
        <v>3380</v>
      </c>
      <c r="M89" t="s">
        <v>3381</v>
      </c>
      <c r="N89" t="s">
        <v>3382</v>
      </c>
      <c r="O89" t="s">
        <v>3383</v>
      </c>
      <c r="P89" t="s">
        <v>3384</v>
      </c>
      <c r="Q89" t="s">
        <v>3385</v>
      </c>
      <c r="R89" t="s">
        <v>3386</v>
      </c>
      <c r="S89" t="s">
        <v>3387</v>
      </c>
      <c r="T89" t="s">
        <v>3388</v>
      </c>
      <c r="U89" t="s">
        <v>3389</v>
      </c>
      <c r="V89" t="s">
        <v>3440</v>
      </c>
      <c r="W89" t="s">
        <v>3389</v>
      </c>
      <c r="X89" t="s">
        <v>3391</v>
      </c>
      <c r="Y89" t="s">
        <v>3392</v>
      </c>
      <c r="Z89" t="s">
        <v>3393</v>
      </c>
      <c r="AA89" t="s">
        <v>3380</v>
      </c>
      <c r="AB89" t="s">
        <v>3380</v>
      </c>
      <c r="AC89" t="s">
        <v>3394</v>
      </c>
      <c r="AD89">
        <v>718588</v>
      </c>
    </row>
    <row r="90" spans="1:30" x14ac:dyDescent="0.25">
      <c r="A90" s="46" t="s">
        <v>1249</v>
      </c>
      <c r="B90" t="s">
        <v>3372</v>
      </c>
      <c r="C90" t="s">
        <v>3373</v>
      </c>
      <c r="D90" t="s">
        <v>3715</v>
      </c>
      <c r="E90" t="s">
        <v>3375</v>
      </c>
      <c r="F90">
        <v>1</v>
      </c>
      <c r="G90" t="s">
        <v>3716</v>
      </c>
      <c r="H90">
        <v>16</v>
      </c>
      <c r="I90" t="s">
        <v>3377</v>
      </c>
      <c r="J90" t="s">
        <v>3378</v>
      </c>
      <c r="K90" t="s">
        <v>3418</v>
      </c>
      <c r="L90" t="s">
        <v>3419</v>
      </c>
      <c r="M90" t="s">
        <v>3381</v>
      </c>
      <c r="N90" t="s">
        <v>3382</v>
      </c>
      <c r="O90" t="s">
        <v>3383</v>
      </c>
      <c r="P90" t="s">
        <v>3384</v>
      </c>
      <c r="Q90" t="s">
        <v>3420</v>
      </c>
      <c r="R90" t="s">
        <v>3386</v>
      </c>
      <c r="S90" t="s">
        <v>3387</v>
      </c>
      <c r="T90" t="s">
        <v>3388</v>
      </c>
      <c r="U90" t="s">
        <v>3410</v>
      </c>
      <c r="V90" t="s">
        <v>3411</v>
      </c>
      <c r="W90" t="s">
        <v>3462</v>
      </c>
      <c r="X90" t="s">
        <v>3391</v>
      </c>
      <c r="Y90" t="s">
        <v>3392</v>
      </c>
      <c r="Z90" t="s">
        <v>3421</v>
      </c>
      <c r="AA90" t="s">
        <v>3419</v>
      </c>
      <c r="AB90" t="s">
        <v>3419</v>
      </c>
      <c r="AC90" t="s">
        <v>3422</v>
      </c>
      <c r="AD90">
        <v>959261</v>
      </c>
    </row>
    <row r="91" spans="1:30" x14ac:dyDescent="0.25">
      <c r="A91" s="46" t="s">
        <v>1252</v>
      </c>
      <c r="B91" t="s">
        <v>3372</v>
      </c>
      <c r="C91" t="s">
        <v>3373</v>
      </c>
      <c r="D91" t="s">
        <v>3717</v>
      </c>
      <c r="E91" t="s">
        <v>3375</v>
      </c>
      <c r="F91">
        <v>1</v>
      </c>
      <c r="G91" t="s">
        <v>3718</v>
      </c>
      <c r="H91">
        <v>16</v>
      </c>
      <c r="I91" t="s">
        <v>3377</v>
      </c>
      <c r="J91" t="s">
        <v>3378</v>
      </c>
      <c r="K91" t="s">
        <v>3418</v>
      </c>
      <c r="L91" t="s">
        <v>3419</v>
      </c>
      <c r="M91" t="s">
        <v>3381</v>
      </c>
      <c r="N91" t="s">
        <v>3382</v>
      </c>
      <c r="O91" t="s">
        <v>3383</v>
      </c>
      <c r="P91" t="s">
        <v>3384</v>
      </c>
      <c r="Q91" t="s">
        <v>3420</v>
      </c>
      <c r="R91" t="s">
        <v>3386</v>
      </c>
      <c r="S91" t="s">
        <v>3387</v>
      </c>
      <c r="T91" t="s">
        <v>3388</v>
      </c>
      <c r="U91" t="s">
        <v>3410</v>
      </c>
      <c r="V91" t="s">
        <v>3411</v>
      </c>
      <c r="W91" t="s">
        <v>3462</v>
      </c>
      <c r="X91" t="s">
        <v>3391</v>
      </c>
      <c r="Y91" t="s">
        <v>3392</v>
      </c>
      <c r="Z91" t="s">
        <v>3421</v>
      </c>
      <c r="AA91" t="s">
        <v>3419</v>
      </c>
      <c r="AB91" t="s">
        <v>3419</v>
      </c>
      <c r="AC91" t="s">
        <v>3422</v>
      </c>
      <c r="AD91">
        <v>959261</v>
      </c>
    </row>
    <row r="92" spans="1:30" x14ac:dyDescent="0.25">
      <c r="A92" s="46" t="s">
        <v>1258</v>
      </c>
      <c r="B92" t="s">
        <v>3372</v>
      </c>
      <c r="C92" t="s">
        <v>3373</v>
      </c>
      <c r="D92" t="s">
        <v>3719</v>
      </c>
      <c r="E92" t="s">
        <v>3375</v>
      </c>
      <c r="F92">
        <v>1</v>
      </c>
      <c r="G92" t="s">
        <v>3720</v>
      </c>
      <c r="H92">
        <v>16</v>
      </c>
      <c r="I92" t="s">
        <v>3377</v>
      </c>
      <c r="J92" t="s">
        <v>3378</v>
      </c>
      <c r="K92" t="s">
        <v>3418</v>
      </c>
      <c r="L92" t="s">
        <v>3419</v>
      </c>
      <c r="M92" t="s">
        <v>3381</v>
      </c>
      <c r="N92" t="s">
        <v>3382</v>
      </c>
      <c r="O92" t="s">
        <v>3383</v>
      </c>
      <c r="P92" t="s">
        <v>3384</v>
      </c>
      <c r="Q92" t="s">
        <v>3420</v>
      </c>
      <c r="R92" t="s">
        <v>3386</v>
      </c>
      <c r="S92" t="s">
        <v>3387</v>
      </c>
      <c r="T92" t="s">
        <v>3388</v>
      </c>
      <c r="U92" t="s">
        <v>3410</v>
      </c>
      <c r="V92" t="s">
        <v>3411</v>
      </c>
      <c r="W92" t="s">
        <v>3462</v>
      </c>
      <c r="X92" t="s">
        <v>3391</v>
      </c>
      <c r="Y92" t="s">
        <v>3392</v>
      </c>
      <c r="Z92" t="s">
        <v>3421</v>
      </c>
      <c r="AA92" t="s">
        <v>3419</v>
      </c>
      <c r="AB92" t="s">
        <v>3419</v>
      </c>
      <c r="AC92" t="s">
        <v>3422</v>
      </c>
      <c r="AD92">
        <v>959261</v>
      </c>
    </row>
    <row r="93" spans="1:30" x14ac:dyDescent="0.25">
      <c r="A93" s="46" t="s">
        <v>1261</v>
      </c>
      <c r="B93" t="s">
        <v>3372</v>
      </c>
      <c r="C93" t="s">
        <v>3373</v>
      </c>
      <c r="D93" t="s">
        <v>3721</v>
      </c>
      <c r="E93" t="s">
        <v>3375</v>
      </c>
      <c r="F93">
        <v>1</v>
      </c>
      <c r="G93" t="s">
        <v>3722</v>
      </c>
      <c r="H93">
        <v>16</v>
      </c>
      <c r="I93" t="s">
        <v>3377</v>
      </c>
      <c r="J93" t="s">
        <v>3378</v>
      </c>
      <c r="K93" t="s">
        <v>3418</v>
      </c>
      <c r="L93" t="s">
        <v>3505</v>
      </c>
      <c r="M93" t="s">
        <v>3381</v>
      </c>
      <c r="N93" t="s">
        <v>3382</v>
      </c>
      <c r="O93" t="s">
        <v>3383</v>
      </c>
      <c r="P93" t="s">
        <v>3384</v>
      </c>
      <c r="Q93" t="s">
        <v>3506</v>
      </c>
      <c r="R93" t="s">
        <v>3386</v>
      </c>
      <c r="S93" t="s">
        <v>3387</v>
      </c>
      <c r="T93" t="s">
        <v>3388</v>
      </c>
      <c r="U93" t="s">
        <v>3410</v>
      </c>
      <c r="V93" t="s">
        <v>3440</v>
      </c>
      <c r="W93" t="s">
        <v>3410</v>
      </c>
      <c r="X93" t="s">
        <v>3391</v>
      </c>
      <c r="Y93" t="s">
        <v>3392</v>
      </c>
      <c r="Z93" t="s">
        <v>3507</v>
      </c>
      <c r="AA93" t="s">
        <v>3505</v>
      </c>
      <c r="AB93" t="s">
        <v>3505</v>
      </c>
      <c r="AC93" t="s">
        <v>3508</v>
      </c>
      <c r="AD93">
        <v>959261</v>
      </c>
    </row>
    <row r="94" spans="1:30" x14ac:dyDescent="0.25">
      <c r="A94" s="46" t="s">
        <v>1242</v>
      </c>
      <c r="B94" t="s">
        <v>3372</v>
      </c>
      <c r="C94" t="s">
        <v>3373</v>
      </c>
      <c r="D94" t="s">
        <v>3723</v>
      </c>
      <c r="E94" t="s">
        <v>3375</v>
      </c>
      <c r="F94">
        <v>1</v>
      </c>
      <c r="G94" t="s">
        <v>3724</v>
      </c>
      <c r="H94">
        <v>16</v>
      </c>
      <c r="I94" t="s">
        <v>3377</v>
      </c>
      <c r="J94" t="s">
        <v>3378</v>
      </c>
      <c r="K94" t="s">
        <v>3438</v>
      </c>
      <c r="L94" t="s">
        <v>3380</v>
      </c>
      <c r="M94" t="s">
        <v>3381</v>
      </c>
      <c r="N94" t="s">
        <v>3382</v>
      </c>
      <c r="O94" t="s">
        <v>3383</v>
      </c>
      <c r="P94" t="s">
        <v>3384</v>
      </c>
      <c r="Q94" t="s">
        <v>3385</v>
      </c>
      <c r="R94" t="s">
        <v>3386</v>
      </c>
      <c r="S94" t="s">
        <v>3387</v>
      </c>
      <c r="T94" t="s">
        <v>3388</v>
      </c>
      <c r="U94" t="s">
        <v>3389</v>
      </c>
      <c r="V94" t="s">
        <v>3440</v>
      </c>
      <c r="W94" t="s">
        <v>3389</v>
      </c>
      <c r="X94" t="s">
        <v>3391</v>
      </c>
      <c r="Y94" t="s">
        <v>3392</v>
      </c>
      <c r="Z94" t="s">
        <v>3393</v>
      </c>
      <c r="AA94" t="s">
        <v>3380</v>
      </c>
      <c r="AB94" t="s">
        <v>3380</v>
      </c>
      <c r="AC94" t="s">
        <v>3394</v>
      </c>
      <c r="AD94">
        <v>718588</v>
      </c>
    </row>
    <row r="95" spans="1:30" x14ac:dyDescent="0.25">
      <c r="A95" s="46" t="s">
        <v>1255</v>
      </c>
      <c r="B95" t="s">
        <v>3372</v>
      </c>
      <c r="C95" t="s">
        <v>3373</v>
      </c>
      <c r="D95" t="s">
        <v>3725</v>
      </c>
      <c r="E95" t="s">
        <v>3375</v>
      </c>
      <c r="F95">
        <v>1</v>
      </c>
      <c r="G95" t="s">
        <v>3726</v>
      </c>
      <c r="H95">
        <v>16</v>
      </c>
      <c r="I95" t="s">
        <v>3377</v>
      </c>
      <c r="J95" t="s">
        <v>3378</v>
      </c>
      <c r="K95" t="s">
        <v>3438</v>
      </c>
      <c r="L95" t="s">
        <v>3380</v>
      </c>
      <c r="M95" t="s">
        <v>3381</v>
      </c>
      <c r="N95" t="s">
        <v>3382</v>
      </c>
      <c r="O95" t="s">
        <v>3383</v>
      </c>
      <c r="P95" t="s">
        <v>3384</v>
      </c>
      <c r="Q95" t="s">
        <v>3385</v>
      </c>
      <c r="R95" t="s">
        <v>3386</v>
      </c>
      <c r="S95" t="s">
        <v>3387</v>
      </c>
      <c r="T95" t="s">
        <v>3388</v>
      </c>
      <c r="U95" t="s">
        <v>3389</v>
      </c>
      <c r="V95" t="s">
        <v>3440</v>
      </c>
      <c r="W95" t="s">
        <v>3389</v>
      </c>
      <c r="X95" t="s">
        <v>3391</v>
      </c>
      <c r="Y95" t="s">
        <v>3392</v>
      </c>
      <c r="Z95" t="s">
        <v>3393</v>
      </c>
      <c r="AA95" t="s">
        <v>3380</v>
      </c>
      <c r="AB95" t="s">
        <v>3380</v>
      </c>
      <c r="AC95" t="s">
        <v>3394</v>
      </c>
      <c r="AD95">
        <v>718588</v>
      </c>
    </row>
    <row r="96" spans="1:30" x14ac:dyDescent="0.25">
      <c r="A96" s="46" t="s">
        <v>905</v>
      </c>
      <c r="B96" t="s">
        <v>3372</v>
      </c>
      <c r="C96" t="s">
        <v>3373</v>
      </c>
      <c r="D96" t="s">
        <v>3727</v>
      </c>
      <c r="E96" t="s">
        <v>3375</v>
      </c>
      <c r="F96">
        <v>1</v>
      </c>
      <c r="G96" t="s">
        <v>3728</v>
      </c>
      <c r="H96">
        <v>16</v>
      </c>
      <c r="I96" t="s">
        <v>3377</v>
      </c>
      <c r="J96" t="s">
        <v>3378</v>
      </c>
      <c r="K96" t="s">
        <v>3729</v>
      </c>
      <c r="L96" t="s">
        <v>3730</v>
      </c>
      <c r="M96" t="s">
        <v>3381</v>
      </c>
      <c r="N96" t="s">
        <v>3382</v>
      </c>
      <c r="O96" t="s">
        <v>3383</v>
      </c>
      <c r="P96" t="s">
        <v>3384</v>
      </c>
      <c r="Q96" t="s">
        <v>3731</v>
      </c>
      <c r="R96" t="s">
        <v>3386</v>
      </c>
      <c r="S96" t="s">
        <v>3387</v>
      </c>
      <c r="T96" t="s">
        <v>3388</v>
      </c>
      <c r="U96" t="s">
        <v>3454</v>
      </c>
      <c r="V96" t="s">
        <v>3455</v>
      </c>
      <c r="W96" t="s">
        <v>3412</v>
      </c>
      <c r="X96" t="s">
        <v>3391</v>
      </c>
      <c r="Y96" t="s">
        <v>3392</v>
      </c>
      <c r="Z96" t="s">
        <v>3732</v>
      </c>
      <c r="AA96" t="s">
        <v>3730</v>
      </c>
      <c r="AB96" t="s">
        <v>3730</v>
      </c>
      <c r="AC96" t="s">
        <v>3733</v>
      </c>
      <c r="AD96">
        <v>720467</v>
      </c>
    </row>
    <row r="97" spans="1:30" x14ac:dyDescent="0.25">
      <c r="A97" s="46" t="s">
        <v>998</v>
      </c>
      <c r="B97" t="s">
        <v>3372</v>
      </c>
      <c r="C97" t="s">
        <v>3373</v>
      </c>
      <c r="D97" t="s">
        <v>3734</v>
      </c>
      <c r="E97" t="s">
        <v>3375</v>
      </c>
      <c r="F97">
        <v>0</v>
      </c>
      <c r="G97" t="s">
        <v>3735</v>
      </c>
      <c r="H97">
        <v>16</v>
      </c>
      <c r="I97" t="s">
        <v>3377</v>
      </c>
      <c r="J97" t="s">
        <v>3378</v>
      </c>
      <c r="K97" t="s">
        <v>3665</v>
      </c>
      <c r="L97" t="s">
        <v>3666</v>
      </c>
      <c r="M97" t="s">
        <v>3381</v>
      </c>
      <c r="N97" t="s">
        <v>3382</v>
      </c>
      <c r="O97" t="s">
        <v>3383</v>
      </c>
      <c r="P97" t="s">
        <v>3384</v>
      </c>
      <c r="Q97" t="s">
        <v>3667</v>
      </c>
      <c r="R97" t="s">
        <v>3386</v>
      </c>
      <c r="S97" t="s">
        <v>3387</v>
      </c>
      <c r="T97" t="s">
        <v>3388</v>
      </c>
      <c r="U97" t="s">
        <v>3658</v>
      </c>
      <c r="V97" t="s">
        <v>3736</v>
      </c>
      <c r="W97" t="s">
        <v>3658</v>
      </c>
      <c r="X97" t="s">
        <v>3391</v>
      </c>
      <c r="Y97" t="s">
        <v>3669</v>
      </c>
      <c r="Z97" t="s">
        <v>3670</v>
      </c>
      <c r="AA97" t="s">
        <v>3666</v>
      </c>
      <c r="AB97" t="s">
        <v>3666</v>
      </c>
      <c r="AC97" t="s">
        <v>3671</v>
      </c>
      <c r="AD97">
        <v>958933</v>
      </c>
    </row>
    <row r="98" spans="1:30" x14ac:dyDescent="0.25">
      <c r="A98" s="46" t="s">
        <v>3737</v>
      </c>
      <c r="B98" t="s">
        <v>3372</v>
      </c>
      <c r="C98" t="s">
        <v>3373</v>
      </c>
      <c r="D98" t="s">
        <v>3738</v>
      </c>
      <c r="E98" t="s">
        <v>3375</v>
      </c>
      <c r="F98">
        <v>0</v>
      </c>
      <c r="G98" t="s">
        <v>3739</v>
      </c>
      <c r="H98">
        <v>16</v>
      </c>
      <c r="I98" t="s">
        <v>3377</v>
      </c>
      <c r="J98" t="s">
        <v>3378</v>
      </c>
      <c r="K98" t="s">
        <v>3740</v>
      </c>
      <c r="L98" t="s">
        <v>3741</v>
      </c>
      <c r="M98" t="s">
        <v>3381</v>
      </c>
      <c r="N98" t="s">
        <v>3382</v>
      </c>
      <c r="O98" t="s">
        <v>3383</v>
      </c>
      <c r="P98" t="s">
        <v>3384</v>
      </c>
      <c r="Q98" t="s">
        <v>3742</v>
      </c>
      <c r="R98" t="s">
        <v>3386</v>
      </c>
      <c r="S98" t="s">
        <v>3387</v>
      </c>
      <c r="T98" t="s">
        <v>3388</v>
      </c>
      <c r="U98" t="s">
        <v>3558</v>
      </c>
      <c r="V98" t="s">
        <v>3743</v>
      </c>
      <c r="W98" t="s">
        <v>3558</v>
      </c>
      <c r="X98" t="s">
        <v>3391</v>
      </c>
      <c r="Y98" t="s">
        <v>3392</v>
      </c>
      <c r="Z98" t="s">
        <v>3744</v>
      </c>
      <c r="AA98" t="s">
        <v>3741</v>
      </c>
      <c r="AB98" t="s">
        <v>3741</v>
      </c>
      <c r="AC98" t="s">
        <v>3745</v>
      </c>
      <c r="AD98">
        <v>958109</v>
      </c>
    </row>
    <row r="99" spans="1:30" x14ac:dyDescent="0.25">
      <c r="A99" s="46" t="s">
        <v>3746</v>
      </c>
      <c r="B99" t="s">
        <v>3372</v>
      </c>
      <c r="C99" t="s">
        <v>3373</v>
      </c>
      <c r="D99" t="s">
        <v>3747</v>
      </c>
      <c r="E99" t="s">
        <v>3375</v>
      </c>
      <c r="F99">
        <v>0</v>
      </c>
      <c r="G99" t="s">
        <v>3748</v>
      </c>
      <c r="H99">
        <v>16</v>
      </c>
      <c r="I99" t="s">
        <v>3377</v>
      </c>
      <c r="J99" t="s">
        <v>3378</v>
      </c>
      <c r="K99" t="s">
        <v>3740</v>
      </c>
      <c r="L99" t="s">
        <v>3741</v>
      </c>
      <c r="M99" t="s">
        <v>3381</v>
      </c>
      <c r="N99" t="s">
        <v>3382</v>
      </c>
      <c r="O99" t="s">
        <v>3383</v>
      </c>
      <c r="P99" t="s">
        <v>3384</v>
      </c>
      <c r="Q99" t="s">
        <v>3742</v>
      </c>
      <c r="R99" t="s">
        <v>3386</v>
      </c>
      <c r="S99" t="s">
        <v>3387</v>
      </c>
      <c r="T99" t="s">
        <v>3388</v>
      </c>
      <c r="U99" t="s">
        <v>3558</v>
      </c>
      <c r="V99" t="s">
        <v>3743</v>
      </c>
      <c r="W99" t="s">
        <v>3558</v>
      </c>
      <c r="X99" t="s">
        <v>3391</v>
      </c>
      <c r="Y99" t="s">
        <v>3392</v>
      </c>
      <c r="Z99" t="s">
        <v>3744</v>
      </c>
      <c r="AA99" t="s">
        <v>3741</v>
      </c>
      <c r="AB99" t="s">
        <v>3741</v>
      </c>
      <c r="AC99" t="s">
        <v>3745</v>
      </c>
      <c r="AD99">
        <v>958109</v>
      </c>
    </row>
    <row r="100" spans="1:30" x14ac:dyDescent="0.25">
      <c r="A100" s="46" t="s">
        <v>3749</v>
      </c>
      <c r="B100" t="s">
        <v>3372</v>
      </c>
      <c r="C100" t="s">
        <v>3373</v>
      </c>
      <c r="D100" t="s">
        <v>3750</v>
      </c>
      <c r="E100" t="s">
        <v>3375</v>
      </c>
      <c r="F100">
        <v>0</v>
      </c>
      <c r="G100" t="s">
        <v>3751</v>
      </c>
      <c r="H100">
        <v>16</v>
      </c>
      <c r="I100" t="s">
        <v>3377</v>
      </c>
      <c r="J100" t="s">
        <v>3378</v>
      </c>
      <c r="K100" t="s">
        <v>3489</v>
      </c>
      <c r="L100" t="s">
        <v>3481</v>
      </c>
      <c r="M100" t="s">
        <v>3381</v>
      </c>
      <c r="N100" t="s">
        <v>3382</v>
      </c>
      <c r="O100" t="s">
        <v>3383</v>
      </c>
      <c r="P100" t="s">
        <v>3384</v>
      </c>
      <c r="Q100" t="s">
        <v>3482</v>
      </c>
      <c r="R100" t="s">
        <v>3386</v>
      </c>
      <c r="S100" t="s">
        <v>3387</v>
      </c>
      <c r="T100" t="s">
        <v>3388</v>
      </c>
      <c r="U100" t="s">
        <v>3497</v>
      </c>
      <c r="V100" t="s">
        <v>3752</v>
      </c>
      <c r="W100" t="s">
        <v>3550</v>
      </c>
      <c r="X100" t="s">
        <v>3391</v>
      </c>
      <c r="Y100" t="s">
        <v>3392</v>
      </c>
      <c r="Z100" t="s">
        <v>3484</v>
      </c>
      <c r="AA100" t="s">
        <v>3481</v>
      </c>
      <c r="AB100" t="s">
        <v>3481</v>
      </c>
      <c r="AC100" t="s">
        <v>3485</v>
      </c>
      <c r="AD100">
        <v>961168</v>
      </c>
    </row>
    <row r="101" spans="1:30" x14ac:dyDescent="0.25">
      <c r="A101" s="46" t="s">
        <v>3753</v>
      </c>
      <c r="B101" t="s">
        <v>3372</v>
      </c>
      <c r="C101" t="s">
        <v>3373</v>
      </c>
      <c r="D101" t="s">
        <v>3754</v>
      </c>
      <c r="E101" t="s">
        <v>3375</v>
      </c>
      <c r="F101">
        <v>0</v>
      </c>
      <c r="G101" t="s">
        <v>3755</v>
      </c>
      <c r="H101">
        <v>16</v>
      </c>
      <c r="I101" t="s">
        <v>3377</v>
      </c>
      <c r="J101" t="s">
        <v>3378</v>
      </c>
      <c r="K101" t="s">
        <v>3756</v>
      </c>
      <c r="L101" t="s">
        <v>3757</v>
      </c>
      <c r="M101" t="s">
        <v>3381</v>
      </c>
      <c r="N101" t="s">
        <v>3382</v>
      </c>
      <c r="O101" t="s">
        <v>3383</v>
      </c>
      <c r="P101" t="s">
        <v>3384</v>
      </c>
      <c r="Q101" t="s">
        <v>3758</v>
      </c>
      <c r="R101" t="s">
        <v>3386</v>
      </c>
      <c r="S101" t="s">
        <v>3387</v>
      </c>
      <c r="T101" t="s">
        <v>3388</v>
      </c>
      <c r="U101" t="s">
        <v>3529</v>
      </c>
      <c r="V101" t="s">
        <v>3743</v>
      </c>
      <c r="W101" t="s">
        <v>3529</v>
      </c>
      <c r="X101" t="s">
        <v>3391</v>
      </c>
      <c r="Y101" t="s">
        <v>3392</v>
      </c>
      <c r="Z101" t="s">
        <v>3759</v>
      </c>
      <c r="AA101" t="s">
        <v>3757</v>
      </c>
      <c r="AB101" t="s">
        <v>3757</v>
      </c>
      <c r="AC101" t="s">
        <v>3760</v>
      </c>
      <c r="AD101">
        <v>959742</v>
      </c>
    </row>
    <row r="102" spans="1:30" x14ac:dyDescent="0.25">
      <c r="A102" t="s">
        <v>3761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E6A787C22ACE764EB530734AA71A32F2" ma:contentTypeVersion="6" ma:contentTypeDescription="Crear nuevo documento." ma:contentTypeScope="" ma:versionID="cc9d5fbf009ea94709856d947a700d29">
  <xsd:schema xmlns:xsd="http://www.w3.org/2001/XMLSchema" xmlns:xs="http://www.w3.org/2001/XMLSchema" xmlns:p="http://schemas.microsoft.com/office/2006/metadata/properties" xmlns:ns2="baf16cda-b11d-4571-98b7-3b97c5c88f3a" xmlns:ns3="6debd62b-f911-42c4-b914-d2486f2a63fe" targetNamespace="http://schemas.microsoft.com/office/2006/metadata/properties" ma:root="true" ma:fieldsID="f40d5172ad65f52e49b9ebb25c5aa77c" ns2:_="" ns3:_="">
    <xsd:import namespace="baf16cda-b11d-4571-98b7-3b97c5c88f3a"/>
    <xsd:import namespace="6debd62b-f911-42c4-b914-d2486f2a63f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af16cda-b11d-4571-98b7-3b97c5c88f3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ebd62b-f911-42c4-b914-d2486f2a63fe" elementFormDefault="qualified">
    <xsd:import namespace="http://schemas.microsoft.com/office/2006/documentManagement/types"/>
    <xsd:import namespace="http://schemas.microsoft.com/office/infopath/2007/PartnerControls"/>
    <xsd:element name="SharedWithUsers" ma:index="12"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6debd62b-f911-42c4-b914-d2486f2a63fe">
      <UserInfo>
        <DisplayName>Herranz Garcia, Alvaro</DisplayName>
        <AccountId>40</AccountId>
        <AccountType/>
      </UserInfo>
    </SharedWithUsers>
  </documentManagement>
</p:properties>
</file>

<file path=customXml/itemProps1.xml><?xml version="1.0" encoding="utf-8"?>
<ds:datastoreItem xmlns:ds="http://schemas.openxmlformats.org/officeDocument/2006/customXml" ds:itemID="{17DD3E22-6AFC-46D5-878D-463EFBE13595}">
  <ds:schemaRefs>
    <ds:schemaRef ds:uri="http://schemas.microsoft.com/sharepoint/v3/contenttype/forms"/>
  </ds:schemaRefs>
</ds:datastoreItem>
</file>

<file path=customXml/itemProps2.xml><?xml version="1.0" encoding="utf-8"?>
<ds:datastoreItem xmlns:ds="http://schemas.openxmlformats.org/officeDocument/2006/customXml" ds:itemID="{19B4A221-7B0E-494B-B145-EA4AC4F6830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af16cda-b11d-4571-98b7-3b97c5c88f3a"/>
    <ds:schemaRef ds:uri="6debd62b-f911-42c4-b914-d2486f2a63f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A8184F-BBA2-4BD1-93D9-6AD280934F8A}">
  <ds:schemaRefs>
    <ds:schemaRef ds:uri="http://schemas.microsoft.com/office/2006/metadata/properties"/>
    <ds:schemaRef ds:uri="http://schemas.microsoft.com/office/infopath/2007/PartnerControls"/>
    <ds:schemaRef ds:uri="6debd62b-f911-42c4-b914-d2486f2a63f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Instalación - A320 SN06</vt:lpstr>
      <vt:lpstr>OPs (11122024)</vt:lpstr>
      <vt:lpstr>IMs</vt:lpstr>
      <vt:lpstr>Layout</vt:lpstr>
      <vt:lpstr>Historico</vt:lpstr>
      <vt:lpstr>Apoyo</vt:lpstr>
      <vt:lpstr>Contraseñas A320_SN06</vt:lpstr>
      <vt:lpstr>Historico POWER ON</vt:lpstr>
      <vt:lpstr>Dashboard</vt:lpstr>
      <vt:lpstr>INSTRUCCIONES OPs</vt:lpstr>
      <vt:lpstr>Incidencias</vt:lpstr>
      <vt:lpstr>OPs</vt:lpstr>
      <vt:lpstr>Incidencias OLD</vt:lpstr>
      <vt:lpstr>LM SAP</vt:lpstr>
      <vt:lpstr>Incidencias!Área_de_impresión</vt:lpstr>
      <vt:lpstr>'Incidencias OLD'!Área_de_impresión</vt:lpstr>
      <vt:lpstr>'Instalación - A320 SN06'!Área_de_impresión</vt:lpstr>
      <vt:lpstr>OPs!Área_de_impresión</vt:lpstr>
    </vt:vector>
  </TitlesOfParts>
  <Manager/>
  <Company>Indra Sistemas SA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Ochoa Delgado, Raúl</dc:creator>
  <cp:keywords/>
  <dc:description/>
  <cp:lastModifiedBy>Rodrigo San Martín, Daniel</cp:lastModifiedBy>
  <cp:revision/>
  <dcterms:created xsi:type="dcterms:W3CDTF">2022-09-21T14:02:12Z</dcterms:created>
  <dcterms:modified xsi:type="dcterms:W3CDTF">2026-04-26T11:47:36Z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0x010100E6A787C22ACE764EB530734AA71A32F2</vt:lpwstr>
  </property>
</Properties>
</file>